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6"/>
  </bookViews>
  <sheets>
    <sheet name="титул.лист" sheetId="1" r:id="rId1"/>
    <sheet name="кот.1" sheetId="2" r:id="rId2"/>
    <sheet name="кот.2" sheetId="3" r:id="rId3"/>
    <sheet name="кот.4" sheetId="4" r:id="rId4"/>
    <sheet name="кот.5" sheetId="5" r:id="rId5"/>
    <sheet name="кот.6" sheetId="6" r:id="rId6"/>
    <sheet name="контора" sheetId="7" r:id="rId7"/>
    <sheet name="%" sheetId="8" r:id="rId8"/>
    <sheet name="% (2)" sheetId="9" state="hidden" r:id="rId9"/>
  </sheets>
  <definedNames>
    <definedName name="_xlnm.Print_Area" localSheetId="7">'%'!$A$1:$G$27</definedName>
    <definedName name="_xlnm.Print_Area" localSheetId="8">'% (2)'!$A$1:$G$28</definedName>
    <definedName name="_xlnm.Print_Area" localSheetId="6">'контора'!$A$1:$R$32</definedName>
    <definedName name="_xlnm.Print_Area" localSheetId="1">'кот.1'!$A$1:$R$56</definedName>
    <definedName name="_xlnm.Print_Area" localSheetId="2">'кот.2'!$A$1:$R$51</definedName>
    <definedName name="_xlnm.Print_Area" localSheetId="3">'кот.4'!$A$1:$R$46</definedName>
    <definedName name="_xlnm.Print_Area" localSheetId="4">'кот.5'!$A$1:$R$54</definedName>
    <definedName name="_xlnm.Print_Area" localSheetId="5">'кот.6'!$A$1:$R$45</definedName>
    <definedName name="_xlnm.Print_Area" localSheetId="0">'титул.лист'!$A$1:$B$30</definedName>
  </definedNames>
  <calcPr fullCalcOnLoad="1"/>
</workbook>
</file>

<file path=xl/sharedStrings.xml><?xml version="1.0" encoding="utf-8"?>
<sst xmlns="http://schemas.openxmlformats.org/spreadsheetml/2006/main" count="1048" uniqueCount="232">
  <si>
    <t>№№  п/п</t>
  </si>
  <si>
    <t>Норма водопотребления</t>
  </si>
  <si>
    <t>Обоснование</t>
  </si>
  <si>
    <t>Расход на ед.оборудования м3/сутки</t>
  </si>
  <si>
    <t>требуемое качество воды</t>
  </si>
  <si>
    <t>Источники водоснабжения м3/сут.</t>
  </si>
  <si>
    <t>артезианские скважины</t>
  </si>
  <si>
    <t>технический водопровод</t>
  </si>
  <si>
    <t>городской водопровод</t>
  </si>
  <si>
    <t>оборотно повторные системы</t>
  </si>
  <si>
    <t>Водоотведение м3/сутки                                     Городская канализация</t>
  </si>
  <si>
    <t>Водосток</t>
  </si>
  <si>
    <t>Хозбыт</t>
  </si>
  <si>
    <t>Нормативно-чистые</t>
  </si>
  <si>
    <t>загрязненые механическими примесями и минералами</t>
  </si>
  <si>
    <t>загрязненые химическими, органическими и прочими примесями</t>
  </si>
  <si>
    <t>подпитка</t>
  </si>
  <si>
    <t>продувка</t>
  </si>
  <si>
    <t>0,1 м3 на 1 прод.</t>
  </si>
  <si>
    <t>24/3</t>
  </si>
  <si>
    <t>Безвозвратные потери  м3/сут.</t>
  </si>
  <si>
    <t>1 м3</t>
  </si>
  <si>
    <t>восп.выпара</t>
  </si>
  <si>
    <t>2/1</t>
  </si>
  <si>
    <t>ИТОГО:</t>
  </si>
  <si>
    <t>Хозяйственно-бытовые нужды</t>
  </si>
  <si>
    <t xml:space="preserve"> ИТР</t>
  </si>
  <si>
    <t>хоз-быт.</t>
  </si>
  <si>
    <t xml:space="preserve"> рабочие</t>
  </si>
  <si>
    <t>СНиП 2.04.01-85</t>
  </si>
  <si>
    <t xml:space="preserve"> душевые сетки</t>
  </si>
  <si>
    <t>уборка площадей</t>
  </si>
  <si>
    <t>Спр.по подгот.ко-тельн.уста-  новок</t>
  </si>
  <si>
    <t>Технологичес- кий процесс</t>
  </si>
  <si>
    <t>Общее водопот-ребление м3/сутки</t>
  </si>
  <si>
    <t>24/2</t>
  </si>
  <si>
    <t>2 чел.</t>
  </si>
  <si>
    <t>28 чел.</t>
  </si>
  <si>
    <t>Адрес котельной: г. Реутов, ул. Новогиреевская, д 3</t>
  </si>
  <si>
    <t>Кол-во часов работ / кол-во единиц оборудования</t>
  </si>
  <si>
    <t>фильтры Na-катион. Н=2м, Д=1,0 м</t>
  </si>
  <si>
    <t xml:space="preserve">деаэратор ДСА-5 </t>
  </si>
  <si>
    <t>ИТР</t>
  </si>
  <si>
    <t>рабочие</t>
  </si>
  <si>
    <t>душевые сетки</t>
  </si>
  <si>
    <t>система горячего  водоснабжения</t>
  </si>
  <si>
    <t>охлаждение</t>
  </si>
  <si>
    <t>химводопод-готовка</t>
  </si>
  <si>
    <t>питьевая</t>
  </si>
  <si>
    <t>24/1</t>
  </si>
  <si>
    <t>Наименование оборудования, производственных и административных зданий</t>
  </si>
  <si>
    <t>Отчет по РНИ</t>
  </si>
  <si>
    <t>система отопления и горячего водоснабжения</t>
  </si>
  <si>
    <t>24/4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</si>
  <si>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</si>
  <si>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</si>
  <si>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</si>
  <si>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</si>
  <si>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</si>
  <si>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</si>
  <si>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</si>
  <si>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</si>
  <si>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</si>
  <si>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</si>
  <si>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</si>
  <si>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</si>
  <si>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</si>
  <si>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 xml:space="preserve">Всего по котельной в отопительный период за сутки: </t>
  </si>
  <si>
    <t>I. Отопительный период - 214 суток</t>
  </si>
  <si>
    <t>Производственные нужды</t>
  </si>
  <si>
    <t>II. Неотопительный период - 152 суток</t>
  </si>
  <si>
    <t>%</t>
  </si>
  <si>
    <t>плановые эксплуатационные испытания</t>
  </si>
  <si>
    <t>24/16</t>
  </si>
  <si>
    <t>24/10</t>
  </si>
  <si>
    <t>Котел КВ-12,0 ГМ-СТГ</t>
  </si>
  <si>
    <t>дымосос</t>
  </si>
  <si>
    <t>насос</t>
  </si>
  <si>
    <t>Адрес котельной: г. Реутов, ул. Победы, д 14-А</t>
  </si>
  <si>
    <t>2% от V</t>
  </si>
  <si>
    <t>Водопроводный ввод: 2 Д=150 мм, канализационный ввод: Д=100 мм</t>
  </si>
  <si>
    <t>Водопроводный ввод: 2 Д=100 мм, канализационный ввод: Д=150 мм</t>
  </si>
  <si>
    <t>33 чел.</t>
  </si>
  <si>
    <t>Адрес котельной: г. Реутов, ул. Кирова, д 4-А</t>
  </si>
  <si>
    <t>24/8</t>
  </si>
  <si>
    <t>Адрес котельной: г. Реутов, Юбилейный пр-кт, д 5-А</t>
  </si>
  <si>
    <t>Водопроводный ввод: 2 Д=150 мм, канализационный ввод: Д=150 мм</t>
  </si>
  <si>
    <t>1 чел.</t>
  </si>
  <si>
    <t>24/12</t>
  </si>
  <si>
    <t xml:space="preserve">деаэратор ДСВ-25 </t>
  </si>
  <si>
    <t>фильтры Na-катион. Н=2м, Д=1,5 м</t>
  </si>
  <si>
    <t>Адрес котельной: г. Реутов, ул.Победы, д 13</t>
  </si>
  <si>
    <t>22 чел.</t>
  </si>
  <si>
    <t>Котел ЗИО-60 водогрейный</t>
  </si>
  <si>
    <t>24/6</t>
  </si>
  <si>
    <t>Адрес здания: г. Реутов, ул.Челомея, д 8</t>
  </si>
  <si>
    <t>1300 м2</t>
  </si>
  <si>
    <t xml:space="preserve">Всего по котельной в неотопительный период за сутки: </t>
  </si>
  <si>
    <t xml:space="preserve">БАЛАНС </t>
  </si>
  <si>
    <t>ВОДОПОТРЕБЛЕНИЯ  И  ВОДООТВЕДЕНИЯ</t>
  </si>
  <si>
    <t>Генеральный директор</t>
  </si>
  <si>
    <t>Котел ДКВР-10/13 водогрейный</t>
  </si>
  <si>
    <t>Котел ПТВМ-30М водогрейный</t>
  </si>
  <si>
    <t>127,6 м2</t>
  </si>
  <si>
    <t>1903,3 м2</t>
  </si>
  <si>
    <t>915,5 м2</t>
  </si>
  <si>
    <t>666,7 м2</t>
  </si>
  <si>
    <t>981,6 м2</t>
  </si>
  <si>
    <t>Плановые эксплуатационные испытания</t>
  </si>
  <si>
    <t xml:space="preserve">Всего по котельной за отопительный период 214 суток: </t>
  </si>
  <si>
    <t>3.1.</t>
  </si>
  <si>
    <t>ПТЭ ТЭ</t>
  </si>
  <si>
    <t xml:space="preserve">0,75 % объема </t>
  </si>
  <si>
    <t xml:space="preserve">СНиП 2.04.07-86 </t>
  </si>
  <si>
    <t>2 объема системы</t>
  </si>
  <si>
    <t xml:space="preserve">Всего по котельной за неотопительный период 152 суток: </t>
  </si>
  <si>
    <t>Сведения об объеме систем теплоснабжения</t>
  </si>
  <si>
    <t>Отопительный период</t>
  </si>
  <si>
    <t>Неотопительный период</t>
  </si>
  <si>
    <t>Магистральные трубопроводы (на отопление и нагрев ГВС)</t>
  </si>
  <si>
    <t>Трубопроводы отопления</t>
  </si>
  <si>
    <t>Системы отопления зданий</t>
  </si>
  <si>
    <t>ИТОГО, м3</t>
  </si>
  <si>
    <t>№ п.п.</t>
  </si>
  <si>
    <t>Наименование</t>
  </si>
  <si>
    <t>водопотребление, м3/сутки</t>
  </si>
  <si>
    <t>водотведение, м3/сутки</t>
  </si>
  <si>
    <t>% стоков</t>
  </si>
  <si>
    <t>Плановые эксплуатационные испытания (опрессовка)</t>
  </si>
  <si>
    <t>2.7</t>
  </si>
  <si>
    <t>3.1</t>
  </si>
  <si>
    <t>РАСЧЕТ</t>
  </si>
  <si>
    <t>количества сточных вод, сбрасываемых в горканализацию</t>
  </si>
  <si>
    <t>по ООО "Реутовская теплосеть"</t>
  </si>
  <si>
    <t>Объект</t>
  </si>
  <si>
    <t>Котельная № 1</t>
  </si>
  <si>
    <t>Котельная № 2</t>
  </si>
  <si>
    <t>Котельная № 4</t>
  </si>
  <si>
    <t>Котельная № 5</t>
  </si>
  <si>
    <t>Котельная № 6</t>
  </si>
  <si>
    <t>Административное здание</t>
  </si>
  <si>
    <t>Котел LOGANO BUDERUS водогрейный</t>
  </si>
  <si>
    <t>фильтры Аквафлоу</t>
  </si>
  <si>
    <t xml:space="preserve">         Объем нормативной утечки на тепловых сетях определяется по фактическому объему трубопроводов.                     В отопительный период - суммарная длина трубопроводов магистральных (для приготовления ГВС), разводящих отопления и внутренних систем отопления зданий. В неотопительный период - длина трубопроводов магистральных (для приготовления ГВС).</t>
  </si>
  <si>
    <t xml:space="preserve">         Объем воды, используемой при плановых эксплуатационных испытаниях (опресовке) тепловых сетей                       в неотопительный период, принимается как двухкратный объем магистральных (для приготовления ГВС) и разводящих (на отопление) трубопроводов.</t>
  </si>
  <si>
    <t>124,37 м3/месяц м3/рег.</t>
  </si>
  <si>
    <t>восполнение выпара</t>
  </si>
  <si>
    <t xml:space="preserve">2% от V(28,68 м3) </t>
  </si>
  <si>
    <t>10 % от V</t>
  </si>
  <si>
    <t>10% от V</t>
  </si>
  <si>
    <t>Справочник по котельным установкам малой производительности</t>
  </si>
  <si>
    <t>0,75 % объема системы</t>
  </si>
  <si>
    <t>Отчет по ПНР</t>
  </si>
  <si>
    <t>13,77 м3/сут.</t>
  </si>
  <si>
    <t>10%объема котла в месяц</t>
  </si>
  <si>
    <t>6 % от V</t>
  </si>
  <si>
    <t>24 / 44,72 м 3</t>
  </si>
  <si>
    <t>35 чел.</t>
  </si>
  <si>
    <t>28,37 м3/рег</t>
  </si>
  <si>
    <t>24 / 593,55 м 3</t>
  </si>
  <si>
    <t>24 / 1066,21 м 3</t>
  </si>
  <si>
    <t>24 / 767 м 3</t>
  </si>
  <si>
    <t>24 / 1071,20 м 3</t>
  </si>
  <si>
    <t>24 / 2039,88 м 3</t>
  </si>
  <si>
    <t>на 2014 год</t>
  </si>
  <si>
    <t>Начальник производственного отдела</t>
  </si>
  <si>
    <t>В.В. Корончик</t>
  </si>
  <si>
    <t xml:space="preserve">          Расчет обоснован балансом водопотребления и водоотведения по объектам ООО "Реутовская теплосеть"                        на 2014 г. Количество сточных вод, сбрасываемых в горканализацию, принимается равным объему фактически потребленной воды за вычетом безвозвратных потерь (нормативная утечка на тепловых сетях, нормативные потери при работе оборудования).</t>
  </si>
  <si>
    <t>5 чел.</t>
  </si>
  <si>
    <t>4/1</t>
  </si>
  <si>
    <t>4/2</t>
  </si>
  <si>
    <t>60 чел.</t>
  </si>
  <si>
    <t>Поливка газона</t>
  </si>
  <si>
    <t>поливка</t>
  </si>
  <si>
    <t>240 м2</t>
  </si>
  <si>
    <t>Всего по зданию за отопительный период 214 суток:</t>
  </si>
  <si>
    <t>Аквадистиллятор ДЭ-04-2</t>
  </si>
  <si>
    <t xml:space="preserve">Всего по зданию за неотопительный период 152 суток: </t>
  </si>
  <si>
    <t>Химлаборатория</t>
  </si>
  <si>
    <t>приготовление реактивов</t>
  </si>
  <si>
    <t>УВЕРЖДАЮ</t>
  </si>
  <si>
    <t>ООО "Р-СЕТЕВАЯ КОМПАНИЯ"</t>
  </si>
  <si>
    <t>_____________ В.А. Диденко</t>
  </si>
  <si>
    <t>" ____ " _________ 2016 г.</t>
  </si>
  <si>
    <t>ПО  ОБЪЕКТАМ  ООО  "Р-СЕТЕВАЯ КОМПАНИЯ"</t>
  </si>
  <si>
    <t xml:space="preserve"> на 2017 ГОД</t>
  </si>
  <si>
    <t>Баланс водопотребления и водоотведения по котельной № 1 ООО "Р-СЕТЕВАЯ КОМПАНИЯ" на 2017 год</t>
  </si>
  <si>
    <t>Начальник ПО                                              О.О. Шмелева</t>
  </si>
  <si>
    <t>Всего по котельной за 2017 год:</t>
  </si>
  <si>
    <t>№№  
п/п</t>
  </si>
  <si>
    <t>1.1.1</t>
  </si>
  <si>
    <t>Котел VKK Standardkessel водогрейный</t>
  </si>
  <si>
    <t>Тех. характеристики по данным производителя</t>
  </si>
  <si>
    <t>1.1.2</t>
  </si>
  <si>
    <t>Установка водоумягчения Аквафлоу SF 650/2-29NT</t>
  </si>
  <si>
    <t>химводопод-готовка 1 ступени</t>
  </si>
  <si>
    <t>9,27 м3/сут.</t>
  </si>
  <si>
    <t>1.1.3</t>
  </si>
  <si>
    <t>Установка водоумягчения Аквафлоу SF 100-77SET</t>
  </si>
  <si>
    <t>химводопод-готовка 2 ступени</t>
  </si>
  <si>
    <t>0,94 м3/сут.</t>
  </si>
  <si>
    <t>1.1.4</t>
  </si>
  <si>
    <t>Система отопления и горячего водоснабжения</t>
  </si>
  <si>
    <t>24 / 2009,12 м 3</t>
  </si>
  <si>
    <t xml:space="preserve">0,25 % объема </t>
  </si>
  <si>
    <t>1.2.1</t>
  </si>
  <si>
    <t>1.2.2</t>
  </si>
  <si>
    <t>1.2.3</t>
  </si>
  <si>
    <t>1.2.4</t>
  </si>
  <si>
    <t>2.1.1</t>
  </si>
  <si>
    <t>2.1.2</t>
  </si>
  <si>
    <t>2.1.3</t>
  </si>
  <si>
    <t>2.1.4</t>
  </si>
  <si>
    <t>Система горячего  водоснабжения</t>
  </si>
  <si>
    <t>24 / 1219,9 м 3</t>
  </si>
  <si>
    <t>2.2.1</t>
  </si>
  <si>
    <t>2.2.2</t>
  </si>
  <si>
    <t>2.2.3</t>
  </si>
  <si>
    <t>2.2.4</t>
  </si>
  <si>
    <t>2.3.1</t>
  </si>
  <si>
    <t>Баланс водопотребления и водоотведения по котельной № 2 ООО "Р-СЕТЕВАЯ КОМПАНИЯ" на 2017 год</t>
  </si>
  <si>
    <t>Баланс водопотребления и водоотведения по котельной № 4 ООО "Р-СЕТЕВАЯ КОМПАНИЯ" на 2017 год</t>
  </si>
  <si>
    <t>Баланс водопотребления и водоотведения поАдминистративному зданию ООО "Р-СЕТЕВАЯ КОМПАНИЯ" на 2017 год</t>
  </si>
  <si>
    <t>Баланс водопотребления и водоотведения по котельной № 6 ООО "Р-СЕТЕВАЯ КОМПАНИЯ" на 2017 год</t>
  </si>
  <si>
    <t>Баланс водопотребления и водоотведения по котельной № 5 ООО "Р-СЕТЕВАЯ КОМПАНИЯ" на 2017 год</t>
  </si>
  <si>
    <t>по ООО "Р-СЕТЕВАЯ КОМПАНИЯ"</t>
  </si>
  <si>
    <t>на 2017 год</t>
  </si>
  <si>
    <t xml:space="preserve">          Расчет обоснован балансом водопотребления и водоотведения по объектам ООО "Р-СЕТЕВАЯ КОМПАНИЯ" на 2017 г. Количество сточных вод, сбрасываемых в горканализацию, принимается равным объему фактически потребленной воды за вычетом безвозвратных потерь (нормативная утечка на тепловых сетях, нормативные потери при работе оборудования).</t>
  </si>
  <si>
    <t>О.О. Шмелева</t>
  </si>
  <si>
    <t>2/2</t>
  </si>
  <si>
    <t xml:space="preserve">1 раз в неотопительный период </t>
  </si>
  <si>
    <t>43 чел.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</si>
</sst>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3" fontId="2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/>
    </xf>
    <xf numFmtId="43" fontId="1" fillId="0" borderId="15" xfId="58" applyFont="1" applyFill="1" applyBorder="1" applyAlignment="1">
      <alignment/>
    </xf>
    <xf numFmtId="43" fontId="1" fillId="0" borderId="10" xfId="58" applyFont="1" applyFill="1" applyBorder="1" applyAlignment="1">
      <alignment/>
    </xf>
    <xf numFmtId="43" fontId="2" fillId="0" borderId="10" xfId="58" applyFont="1" applyFill="1" applyBorder="1" applyAlignment="1">
      <alignment horizontal="center" vertical="center" wrapText="1"/>
    </xf>
    <xf numFmtId="43" fontId="2" fillId="0" borderId="12" xfId="58" applyFont="1" applyFill="1" applyBorder="1" applyAlignment="1">
      <alignment horizontal="left" vertical="center" wrapText="1"/>
    </xf>
    <xf numFmtId="43" fontId="2" fillId="0" borderId="16" xfId="58" applyFont="1" applyFill="1" applyBorder="1" applyAlignment="1">
      <alignment horizontal="left" vertical="center" wrapText="1"/>
    </xf>
    <xf numFmtId="43" fontId="3" fillId="0" borderId="10" xfId="58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center"/>
    </xf>
    <xf numFmtId="170" fontId="2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43" fontId="1" fillId="0" borderId="10" xfId="58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 wrapText="1"/>
    </xf>
    <xf numFmtId="170" fontId="1" fillId="0" borderId="10" xfId="58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58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58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43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17</xdr:col>
      <xdr:colOff>247650</xdr:colOff>
      <xdr:row>4</xdr:row>
      <xdr:rowOff>0</xdr:rowOff>
    </xdr:to>
    <xdr:grpSp>
      <xdr:nvGrpSpPr>
        <xdr:cNvPr id="1" name="Group 11"/>
        <xdr:cNvGrpSpPr>
          <a:grpSpLocks/>
        </xdr:cNvGrpSpPr>
      </xdr:nvGrpSpPr>
      <xdr:grpSpPr>
        <a:xfrm>
          <a:off x="0" y="838200"/>
          <a:ext cx="17259300" cy="0"/>
          <a:chOff x="0" y="7"/>
          <a:chExt cx="993" cy="5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0" y="-28454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32004" rIns="4572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БАЛАНС ВОДОПОТРЕБЛЕНИЯ И ВОДООТВЕДЕНИЯ ПРЕДПРИЯТИЯ МП "Реутовская теплосеть"</a:t>
            </a:r>
          </a:p>
        </xdr:txBody>
      </xdr:sp>
      <xdr:sp>
        <xdr:nvSpPr>
          <xdr:cNvPr id="3" name="Text Box 10"/>
          <xdr:cNvSpPr txBox="1">
            <a:spLocks noChangeArrowheads="1"/>
          </xdr:cNvSpPr>
        </xdr:nvSpPr>
        <xdr:spPr>
          <a:xfrm>
            <a:off x="0" y="-28454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32004" rIns="4572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Котельная № 1 г.Реутов (ул.Новогиреевская)  по водопроводным вводам Д-100 мм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835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План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производственной деятельности котельной №6 на 2000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993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План
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производственной деятельности котельной №6 на 2000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view="pageBreakPreview" zoomScale="60" workbookViewId="0" topLeftCell="A1">
      <selection activeCell="B3" sqref="B3"/>
    </sheetView>
  </sheetViews>
  <sheetFormatPr defaultColWidth="9.00390625" defaultRowHeight="12.75"/>
  <cols>
    <col min="1" max="1" width="100.125" style="0" customWidth="1"/>
    <col min="2" max="2" width="41.00390625" style="0" customWidth="1"/>
  </cols>
  <sheetData>
    <row r="1" spans="1:2" ht="18">
      <c r="A1" s="50"/>
      <c r="B1" s="54" t="s">
        <v>180</v>
      </c>
    </row>
    <row r="2" spans="1:2" ht="18">
      <c r="A2" s="50"/>
      <c r="B2" s="51" t="s">
        <v>100</v>
      </c>
    </row>
    <row r="3" spans="1:2" ht="18">
      <c r="A3" s="50"/>
      <c r="B3" s="51" t="s">
        <v>181</v>
      </c>
    </row>
    <row r="4" spans="1:2" ht="18">
      <c r="A4" s="50"/>
      <c r="B4" s="51"/>
    </row>
    <row r="5" spans="1:2" ht="21.75" customHeight="1">
      <c r="A5" s="50"/>
      <c r="B5" s="51" t="s">
        <v>182</v>
      </c>
    </row>
    <row r="6" spans="1:2" ht="18">
      <c r="A6" s="50"/>
      <c r="B6" s="51" t="s">
        <v>183</v>
      </c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spans="1:2" ht="21">
      <c r="A12" s="74" t="s">
        <v>98</v>
      </c>
      <c r="B12" s="74"/>
    </row>
    <row r="13" spans="1:2" ht="21">
      <c r="A13" s="74" t="s">
        <v>99</v>
      </c>
      <c r="B13" s="74"/>
    </row>
    <row r="14" spans="1:2" ht="21">
      <c r="A14" s="74" t="s">
        <v>184</v>
      </c>
      <c r="B14" s="74"/>
    </row>
    <row r="15" spans="1:2" ht="21">
      <c r="A15" s="74" t="s">
        <v>185</v>
      </c>
      <c r="B15" s="74"/>
    </row>
  </sheetData>
  <sheetProtection/>
  <mergeCells count="4">
    <mergeCell ref="A12:B12"/>
    <mergeCell ref="A13:B13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view="pageBreakPreview" zoomScale="55" zoomScaleNormal="70" zoomScaleSheetLayoutView="55" zoomScalePageLayoutView="0" workbookViewId="0" topLeftCell="A16">
      <selection activeCell="L51" sqref="L51"/>
    </sheetView>
  </sheetViews>
  <sheetFormatPr defaultColWidth="9.00390625" defaultRowHeight="12.75"/>
  <cols>
    <col min="1" max="1" width="6.875" style="32" customWidth="1"/>
    <col min="2" max="2" width="31.00390625" style="32" customWidth="1"/>
    <col min="3" max="3" width="16.625" style="32" customWidth="1"/>
    <col min="4" max="4" width="15.50390625" style="32" customWidth="1"/>
    <col min="5" max="5" width="13.875" style="32" customWidth="1"/>
    <col min="6" max="6" width="14.25390625" style="32" customWidth="1"/>
    <col min="7" max="7" width="10.875" style="32" customWidth="1"/>
    <col min="8" max="8" width="15.50390625" style="32" customWidth="1"/>
    <col min="9" max="9" width="14.25390625" style="32" customWidth="1"/>
    <col min="10" max="10" width="5.75390625" style="32" customWidth="1"/>
    <col min="11" max="11" width="5.875" style="32" customWidth="1"/>
    <col min="12" max="12" width="16.00390625" style="32" customWidth="1"/>
    <col min="13" max="13" width="14.25390625" style="32" customWidth="1"/>
    <col min="14" max="14" width="10.25390625" style="32" customWidth="1"/>
    <col min="15" max="15" width="6.50390625" style="32" customWidth="1"/>
    <col min="16" max="16" width="12.625" style="32" customWidth="1"/>
    <col min="17" max="17" width="13.25390625" style="32" customWidth="1"/>
    <col min="18" max="18" width="6.875" style="32" customWidth="1"/>
    <col min="19" max="19" width="14.375" style="32" customWidth="1"/>
    <col min="20" max="20" width="9.50390625" style="32" customWidth="1"/>
    <col min="21" max="16384" width="8.875" style="32" customWidth="1"/>
  </cols>
  <sheetData>
    <row r="1" s="55" customFormat="1" ht="17.25">
      <c r="A1" s="55" t="s">
        <v>186</v>
      </c>
    </row>
    <row r="2" s="56" customFormat="1" ht="18">
      <c r="A2" s="56" t="s">
        <v>38</v>
      </c>
    </row>
    <row r="3" s="56" customFormat="1" ht="18">
      <c r="A3" s="56" t="s">
        <v>80</v>
      </c>
    </row>
    <row r="5" spans="1:18" ht="38.25" customHeight="1">
      <c r="A5" s="77" t="s">
        <v>0</v>
      </c>
      <c r="B5" s="83" t="s">
        <v>50</v>
      </c>
      <c r="C5" s="83" t="s">
        <v>33</v>
      </c>
      <c r="D5" s="83" t="s">
        <v>39</v>
      </c>
      <c r="E5" s="78" t="s">
        <v>1</v>
      </c>
      <c r="F5" s="79"/>
      <c r="G5" s="80"/>
      <c r="H5" s="81" t="s">
        <v>34</v>
      </c>
      <c r="I5" s="78" t="s">
        <v>5</v>
      </c>
      <c r="J5" s="79"/>
      <c r="K5" s="79"/>
      <c r="L5" s="80"/>
      <c r="M5" s="75" t="s">
        <v>20</v>
      </c>
      <c r="N5" s="78" t="s">
        <v>10</v>
      </c>
      <c r="O5" s="79"/>
      <c r="P5" s="79"/>
      <c r="Q5" s="80"/>
      <c r="R5" s="75" t="s">
        <v>11</v>
      </c>
    </row>
    <row r="6" spans="1:18" ht="93" customHeight="1">
      <c r="A6" s="77"/>
      <c r="B6" s="82"/>
      <c r="C6" s="82"/>
      <c r="D6" s="82"/>
      <c r="E6" s="34" t="s">
        <v>2</v>
      </c>
      <c r="F6" s="34" t="s">
        <v>3</v>
      </c>
      <c r="G6" s="34" t="s">
        <v>4</v>
      </c>
      <c r="H6" s="82"/>
      <c r="I6" s="34" t="s">
        <v>8</v>
      </c>
      <c r="J6" s="34" t="s">
        <v>6</v>
      </c>
      <c r="K6" s="34" t="s">
        <v>7</v>
      </c>
      <c r="L6" s="34" t="s">
        <v>9</v>
      </c>
      <c r="M6" s="76"/>
      <c r="N6" s="34" t="s">
        <v>12</v>
      </c>
      <c r="O6" s="34" t="s">
        <v>13</v>
      </c>
      <c r="P6" s="34" t="s">
        <v>14</v>
      </c>
      <c r="Q6" s="34" t="s">
        <v>15</v>
      </c>
      <c r="R6" s="76"/>
    </row>
    <row r="7" spans="1:18" s="37" customFormat="1" ht="15">
      <c r="A7" s="84" t="s">
        <v>68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s="37" customFormat="1" ht="15">
      <c r="A8" s="38">
        <v>1</v>
      </c>
      <c r="B8" s="35" t="s">
        <v>69</v>
      </c>
      <c r="C8" s="35"/>
      <c r="D8" s="35"/>
      <c r="E8" s="35"/>
      <c r="F8" s="39"/>
      <c r="G8" s="39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62.25" customHeight="1">
      <c r="A9" s="27" t="s">
        <v>54</v>
      </c>
      <c r="B9" s="28" t="s">
        <v>101</v>
      </c>
      <c r="C9" s="29" t="s">
        <v>146</v>
      </c>
      <c r="D9" s="30" t="s">
        <v>53</v>
      </c>
      <c r="E9" s="83" t="s">
        <v>150</v>
      </c>
      <c r="F9" s="31" t="s">
        <v>79</v>
      </c>
      <c r="G9" s="31" t="s">
        <v>48</v>
      </c>
      <c r="H9" s="18">
        <f>I9+L9</f>
        <v>47.8992</v>
      </c>
      <c r="I9" s="18">
        <f>L9*0.02</f>
        <v>0.9392</v>
      </c>
      <c r="J9" s="18"/>
      <c r="K9" s="18"/>
      <c r="L9" s="18">
        <f>11.74*4</f>
        <v>46.96</v>
      </c>
      <c r="M9" s="18">
        <f>I9</f>
        <v>0.9392</v>
      </c>
      <c r="N9" s="18"/>
      <c r="O9" s="18"/>
      <c r="P9" s="18"/>
      <c r="Q9" s="18"/>
      <c r="R9" s="18"/>
    </row>
    <row r="10" spans="1:18" ht="30.75">
      <c r="A10" s="27" t="s">
        <v>55</v>
      </c>
      <c r="B10" s="28" t="s">
        <v>101</v>
      </c>
      <c r="C10" s="29" t="s">
        <v>17</v>
      </c>
      <c r="D10" s="30" t="s">
        <v>53</v>
      </c>
      <c r="E10" s="87"/>
      <c r="F10" s="29" t="s">
        <v>18</v>
      </c>
      <c r="G10" s="31" t="s">
        <v>48</v>
      </c>
      <c r="H10" s="18">
        <f aca="true" t="shared" si="0" ref="H10:H16">I10+L10</f>
        <v>0.4</v>
      </c>
      <c r="I10" s="18">
        <v>0.4</v>
      </c>
      <c r="J10" s="18"/>
      <c r="K10" s="18"/>
      <c r="L10" s="18"/>
      <c r="M10" s="18"/>
      <c r="N10" s="18"/>
      <c r="O10" s="18"/>
      <c r="P10" s="18">
        <v>0.4</v>
      </c>
      <c r="Q10" s="18"/>
      <c r="R10" s="18"/>
    </row>
    <row r="11" spans="1:18" ht="30.75">
      <c r="A11" s="27" t="s">
        <v>56</v>
      </c>
      <c r="B11" s="28" t="s">
        <v>75</v>
      </c>
      <c r="C11" s="29" t="s">
        <v>146</v>
      </c>
      <c r="D11" s="30" t="s">
        <v>35</v>
      </c>
      <c r="E11" s="87"/>
      <c r="F11" s="29" t="s">
        <v>147</v>
      </c>
      <c r="G11" s="31" t="s">
        <v>48</v>
      </c>
      <c r="H11" s="18">
        <f t="shared" si="0"/>
        <v>58.5072</v>
      </c>
      <c r="I11" s="18">
        <f>L11*0.02</f>
        <v>1.1472</v>
      </c>
      <c r="J11" s="18"/>
      <c r="K11" s="18"/>
      <c r="L11" s="18">
        <f>28.68*2</f>
        <v>57.36</v>
      </c>
      <c r="M11" s="18">
        <v>1.15</v>
      </c>
      <c r="N11" s="18"/>
      <c r="O11" s="18"/>
      <c r="P11" s="18"/>
      <c r="Q11" s="18"/>
      <c r="R11" s="18"/>
    </row>
    <row r="12" spans="1:18" ht="30.75">
      <c r="A12" s="27" t="s">
        <v>57</v>
      </c>
      <c r="B12" s="28" t="s">
        <v>75</v>
      </c>
      <c r="C12" s="29" t="s">
        <v>17</v>
      </c>
      <c r="D12" s="30" t="s">
        <v>35</v>
      </c>
      <c r="E12" s="87"/>
      <c r="F12" s="29" t="s">
        <v>18</v>
      </c>
      <c r="G12" s="31" t="s">
        <v>48</v>
      </c>
      <c r="H12" s="18">
        <f t="shared" si="0"/>
        <v>0.2</v>
      </c>
      <c r="I12" s="18">
        <v>0.2</v>
      </c>
      <c r="J12" s="18"/>
      <c r="K12" s="18"/>
      <c r="L12" s="18"/>
      <c r="M12" s="18"/>
      <c r="N12" s="18"/>
      <c r="O12" s="18"/>
      <c r="P12" s="18">
        <v>0.2</v>
      </c>
      <c r="Q12" s="18"/>
      <c r="R12" s="18"/>
    </row>
    <row r="13" spans="1:18" ht="15.75" customHeight="1">
      <c r="A13" s="27" t="s">
        <v>58</v>
      </c>
      <c r="B13" s="40" t="s">
        <v>76</v>
      </c>
      <c r="C13" s="29" t="s">
        <v>46</v>
      </c>
      <c r="D13" s="30" t="s">
        <v>53</v>
      </c>
      <c r="E13" s="87"/>
      <c r="F13" s="29" t="s">
        <v>21</v>
      </c>
      <c r="G13" s="31" t="s">
        <v>48</v>
      </c>
      <c r="H13" s="18">
        <f t="shared" si="0"/>
        <v>4</v>
      </c>
      <c r="I13" s="18">
        <v>4</v>
      </c>
      <c r="J13" s="18"/>
      <c r="K13" s="18"/>
      <c r="L13" s="18"/>
      <c r="M13" s="18"/>
      <c r="N13" s="18"/>
      <c r="O13" s="18"/>
      <c r="P13" s="18">
        <v>4</v>
      </c>
      <c r="Q13" s="18"/>
      <c r="R13" s="18"/>
    </row>
    <row r="14" spans="1:18" ht="15.75" customHeight="1">
      <c r="A14" s="27" t="s">
        <v>59</v>
      </c>
      <c r="B14" s="28" t="s">
        <v>77</v>
      </c>
      <c r="C14" s="29" t="s">
        <v>46</v>
      </c>
      <c r="D14" s="30" t="s">
        <v>73</v>
      </c>
      <c r="E14" s="82"/>
      <c r="F14" s="29" t="s">
        <v>21</v>
      </c>
      <c r="G14" s="31" t="s">
        <v>48</v>
      </c>
      <c r="H14" s="18">
        <f t="shared" si="0"/>
        <v>16</v>
      </c>
      <c r="I14" s="18">
        <v>16</v>
      </c>
      <c r="J14" s="18"/>
      <c r="K14" s="18"/>
      <c r="L14" s="18"/>
      <c r="M14" s="18"/>
      <c r="N14" s="18"/>
      <c r="O14" s="18"/>
      <c r="P14" s="18">
        <v>16</v>
      </c>
      <c r="Q14" s="18"/>
      <c r="R14" s="18"/>
    </row>
    <row r="15" spans="1:18" ht="27" customHeight="1">
      <c r="A15" s="27" t="s">
        <v>60</v>
      </c>
      <c r="B15" s="40" t="s">
        <v>41</v>
      </c>
      <c r="C15" s="29" t="s">
        <v>146</v>
      </c>
      <c r="D15" s="30" t="s">
        <v>49</v>
      </c>
      <c r="E15" s="83" t="s">
        <v>51</v>
      </c>
      <c r="F15" s="29" t="s">
        <v>148</v>
      </c>
      <c r="G15" s="31" t="s">
        <v>48</v>
      </c>
      <c r="H15" s="18">
        <v>0.5</v>
      </c>
      <c r="I15" s="18">
        <v>0.5</v>
      </c>
      <c r="J15" s="18"/>
      <c r="K15" s="18"/>
      <c r="L15" s="18"/>
      <c r="M15" s="18">
        <v>0.5</v>
      </c>
      <c r="N15" s="18"/>
      <c r="O15" s="18"/>
      <c r="P15" s="18"/>
      <c r="Q15" s="18"/>
      <c r="R15" s="18"/>
    </row>
    <row r="16" spans="1:18" ht="44.25" customHeight="1">
      <c r="A16" s="27" t="s">
        <v>61</v>
      </c>
      <c r="B16" s="28" t="s">
        <v>40</v>
      </c>
      <c r="C16" s="29" t="s">
        <v>47</v>
      </c>
      <c r="D16" s="30" t="s">
        <v>35</v>
      </c>
      <c r="E16" s="82"/>
      <c r="F16" s="29" t="s">
        <v>145</v>
      </c>
      <c r="G16" s="31" t="s">
        <v>48</v>
      </c>
      <c r="H16" s="18">
        <f t="shared" si="0"/>
        <v>4</v>
      </c>
      <c r="I16" s="18">
        <v>4</v>
      </c>
      <c r="J16" s="18"/>
      <c r="K16" s="18"/>
      <c r="L16" s="18"/>
      <c r="M16" s="18"/>
      <c r="N16" s="18"/>
      <c r="O16" s="18"/>
      <c r="P16" s="18"/>
      <c r="Q16" s="18">
        <v>4</v>
      </c>
      <c r="R16" s="18"/>
    </row>
    <row r="17" spans="1:18" ht="72" customHeight="1">
      <c r="A17" s="27" t="s">
        <v>62</v>
      </c>
      <c r="B17" s="28" t="s">
        <v>52</v>
      </c>
      <c r="C17" s="29" t="s">
        <v>16</v>
      </c>
      <c r="D17" s="29" t="s">
        <v>160</v>
      </c>
      <c r="E17" s="29" t="s">
        <v>113</v>
      </c>
      <c r="F17" s="29" t="s">
        <v>151</v>
      </c>
      <c r="G17" s="31" t="s">
        <v>48</v>
      </c>
      <c r="H17" s="18">
        <f>I17+L17</f>
        <v>1258.1278</v>
      </c>
      <c r="I17" s="18">
        <f>L17*0.0075*24</f>
        <v>191.9178</v>
      </c>
      <c r="J17" s="18"/>
      <c r="K17" s="18"/>
      <c r="L17" s="18">
        <v>1066.21</v>
      </c>
      <c r="M17" s="18">
        <f>I17</f>
        <v>191.9178</v>
      </c>
      <c r="N17" s="18"/>
      <c r="O17" s="18"/>
      <c r="P17" s="18"/>
      <c r="Q17" s="18"/>
      <c r="R17" s="18"/>
    </row>
    <row r="18" spans="1:20" s="37" customFormat="1" ht="15.75" customHeight="1">
      <c r="A18" s="41"/>
      <c r="B18" s="42" t="s">
        <v>24</v>
      </c>
      <c r="C18" s="43"/>
      <c r="D18" s="44"/>
      <c r="E18" s="44"/>
      <c r="F18" s="44"/>
      <c r="G18" s="45"/>
      <c r="H18" s="22">
        <f>SUM(H9:H17)</f>
        <v>1389.6342</v>
      </c>
      <c r="I18" s="22">
        <f>SUM(I9:I17)</f>
        <v>219.1042</v>
      </c>
      <c r="J18" s="22">
        <f aca="true" t="shared" si="1" ref="J18:R18">SUM(J9:J17)</f>
        <v>0</v>
      </c>
      <c r="K18" s="22">
        <f t="shared" si="1"/>
        <v>0</v>
      </c>
      <c r="L18" s="22">
        <f t="shared" si="1"/>
        <v>1170.53</v>
      </c>
      <c r="M18" s="22">
        <f t="shared" si="1"/>
        <v>194.507</v>
      </c>
      <c r="N18" s="22">
        <f t="shared" si="1"/>
        <v>0</v>
      </c>
      <c r="O18" s="22">
        <f t="shared" si="1"/>
        <v>0</v>
      </c>
      <c r="P18" s="22">
        <f t="shared" si="1"/>
        <v>20.6</v>
      </c>
      <c r="Q18" s="22">
        <f t="shared" si="1"/>
        <v>4</v>
      </c>
      <c r="R18" s="22">
        <f t="shared" si="1"/>
        <v>0</v>
      </c>
      <c r="T18" s="46"/>
    </row>
    <row r="19" spans="1:18" s="37" customFormat="1" ht="15">
      <c r="A19" s="38">
        <v>2</v>
      </c>
      <c r="B19" s="47" t="s">
        <v>25</v>
      </c>
      <c r="C19" s="35"/>
      <c r="D19" s="35"/>
      <c r="E19" s="35"/>
      <c r="F19" s="39"/>
      <c r="G19" s="3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1:18" ht="30.75" customHeight="1">
      <c r="A20" s="27" t="s">
        <v>63</v>
      </c>
      <c r="B20" s="28" t="s">
        <v>42</v>
      </c>
      <c r="C20" s="29" t="s">
        <v>27</v>
      </c>
      <c r="D20" s="29" t="s">
        <v>36</v>
      </c>
      <c r="E20" s="83" t="s">
        <v>29</v>
      </c>
      <c r="F20" s="29">
        <v>0.012</v>
      </c>
      <c r="G20" s="31" t="s">
        <v>48</v>
      </c>
      <c r="H20" s="18">
        <f>I20+L20</f>
        <v>0.024</v>
      </c>
      <c r="I20" s="18">
        <v>0.024</v>
      </c>
      <c r="J20" s="18"/>
      <c r="K20" s="18"/>
      <c r="L20" s="18"/>
      <c r="M20" s="18"/>
      <c r="N20" s="18">
        <v>0.024</v>
      </c>
      <c r="O20" s="18"/>
      <c r="P20" s="18"/>
      <c r="Q20" s="18"/>
      <c r="R20" s="18"/>
    </row>
    <row r="21" spans="1:18" ht="15.75" customHeight="1">
      <c r="A21" s="27" t="s">
        <v>64</v>
      </c>
      <c r="B21" s="28" t="s">
        <v>43</v>
      </c>
      <c r="C21" s="29" t="s">
        <v>27</v>
      </c>
      <c r="D21" s="29" t="s">
        <v>37</v>
      </c>
      <c r="E21" s="87"/>
      <c r="F21" s="29">
        <v>0.025</v>
      </c>
      <c r="G21" s="31" t="s">
        <v>48</v>
      </c>
      <c r="H21" s="18">
        <f>I21+L21</f>
        <v>0.7</v>
      </c>
      <c r="I21" s="18">
        <v>0.7</v>
      </c>
      <c r="J21" s="18"/>
      <c r="K21" s="18"/>
      <c r="L21" s="18"/>
      <c r="M21" s="18"/>
      <c r="N21" s="18">
        <v>0.7</v>
      </c>
      <c r="O21" s="18"/>
      <c r="P21" s="18"/>
      <c r="Q21" s="18"/>
      <c r="R21" s="18"/>
    </row>
    <row r="22" spans="1:18" ht="15.75" customHeight="1">
      <c r="A22" s="27" t="s">
        <v>65</v>
      </c>
      <c r="B22" s="28" t="s">
        <v>44</v>
      </c>
      <c r="C22" s="29" t="s">
        <v>27</v>
      </c>
      <c r="D22" s="29" t="s">
        <v>23</v>
      </c>
      <c r="E22" s="87"/>
      <c r="F22" s="29">
        <v>0.5</v>
      </c>
      <c r="G22" s="31" t="s">
        <v>48</v>
      </c>
      <c r="H22" s="18">
        <f>I22+L22</f>
        <v>1</v>
      </c>
      <c r="I22" s="18">
        <v>1</v>
      </c>
      <c r="J22" s="18"/>
      <c r="K22" s="18"/>
      <c r="L22" s="18"/>
      <c r="M22" s="18"/>
      <c r="N22" s="18">
        <v>1</v>
      </c>
      <c r="O22" s="18"/>
      <c r="P22" s="18"/>
      <c r="Q22" s="18"/>
      <c r="R22" s="18"/>
    </row>
    <row r="23" spans="1:18" ht="15.75" customHeight="1">
      <c r="A23" s="27" t="s">
        <v>66</v>
      </c>
      <c r="B23" s="28" t="s">
        <v>31</v>
      </c>
      <c r="C23" s="29" t="s">
        <v>27</v>
      </c>
      <c r="D23" s="30" t="s">
        <v>107</v>
      </c>
      <c r="E23" s="82"/>
      <c r="F23" s="29">
        <v>0.0005</v>
      </c>
      <c r="G23" s="31" t="s">
        <v>48</v>
      </c>
      <c r="H23" s="18">
        <f>I23+L23</f>
        <v>0.49</v>
      </c>
      <c r="I23" s="18">
        <v>0.49</v>
      </c>
      <c r="J23" s="18"/>
      <c r="K23" s="18"/>
      <c r="L23" s="18"/>
      <c r="M23" s="18"/>
      <c r="N23" s="18">
        <f>H23</f>
        <v>0.49</v>
      </c>
      <c r="O23" s="18"/>
      <c r="P23" s="18"/>
      <c r="Q23" s="18"/>
      <c r="R23" s="18"/>
    </row>
    <row r="24" spans="1:18" s="37" customFormat="1" ht="15" customHeight="1">
      <c r="A24" s="41"/>
      <c r="B24" s="42" t="s">
        <v>24</v>
      </c>
      <c r="C24" s="44"/>
      <c r="D24" s="44"/>
      <c r="E24" s="44"/>
      <c r="F24" s="44"/>
      <c r="G24" s="44"/>
      <c r="H24" s="22">
        <f>SUM(H20:H23)</f>
        <v>2.214</v>
      </c>
      <c r="I24" s="22">
        <f aca="true" t="shared" si="2" ref="I24:R24">SUM(I20:I23)</f>
        <v>2.214</v>
      </c>
      <c r="J24" s="22">
        <f t="shared" si="2"/>
        <v>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22">
        <f t="shared" si="2"/>
        <v>2.214</v>
      </c>
      <c r="O24" s="22">
        <f t="shared" si="2"/>
        <v>0</v>
      </c>
      <c r="P24" s="22">
        <f t="shared" si="2"/>
        <v>0</v>
      </c>
      <c r="Q24" s="22">
        <f t="shared" si="2"/>
        <v>0</v>
      </c>
      <c r="R24" s="22">
        <f t="shared" si="2"/>
        <v>0</v>
      </c>
    </row>
    <row r="25" spans="1:20" ht="15.75" customHeight="1">
      <c r="A25" s="40"/>
      <c r="B25" s="44" t="s">
        <v>67</v>
      </c>
      <c r="C25" s="40"/>
      <c r="D25" s="44"/>
      <c r="E25" s="44"/>
      <c r="F25" s="44"/>
      <c r="G25" s="44"/>
      <c r="H25" s="22">
        <f>H18+H24</f>
        <v>1391.8482</v>
      </c>
      <c r="I25" s="22">
        <f>I18+I24</f>
        <v>221.3182</v>
      </c>
      <c r="J25" s="22">
        <f aca="true" t="shared" si="3" ref="J25:R25">J18+J24</f>
        <v>0</v>
      </c>
      <c r="K25" s="22">
        <f t="shared" si="3"/>
        <v>0</v>
      </c>
      <c r="L25" s="22">
        <f t="shared" si="3"/>
        <v>1170.53</v>
      </c>
      <c r="M25" s="22">
        <f t="shared" si="3"/>
        <v>194.507</v>
      </c>
      <c r="N25" s="22">
        <f t="shared" si="3"/>
        <v>2.214</v>
      </c>
      <c r="O25" s="22">
        <f t="shared" si="3"/>
        <v>0</v>
      </c>
      <c r="P25" s="22">
        <f t="shared" si="3"/>
        <v>20.6</v>
      </c>
      <c r="Q25" s="22">
        <f t="shared" si="3"/>
        <v>4</v>
      </c>
      <c r="R25" s="22">
        <f t="shared" si="3"/>
        <v>0</v>
      </c>
      <c r="S25" s="73">
        <f>SUM(N25:R25)</f>
        <v>26.814</v>
      </c>
      <c r="T25" s="33">
        <f>S25/I25*100</f>
        <v>12.115587421188136</v>
      </c>
    </row>
    <row r="26" spans="1:20" ht="15.75" customHeight="1">
      <c r="A26" s="40"/>
      <c r="B26" s="44" t="s">
        <v>109</v>
      </c>
      <c r="C26" s="40"/>
      <c r="D26" s="44"/>
      <c r="E26" s="44"/>
      <c r="F26" s="44"/>
      <c r="G26" s="44"/>
      <c r="H26" s="22">
        <f>H25*214</f>
        <v>297855.5148</v>
      </c>
      <c r="I26" s="22">
        <f aca="true" t="shared" si="4" ref="I26:R26">I25*214</f>
        <v>47362.0948</v>
      </c>
      <c r="J26" s="22">
        <f t="shared" si="4"/>
        <v>0</v>
      </c>
      <c r="K26" s="22">
        <f t="shared" si="4"/>
        <v>0</v>
      </c>
      <c r="L26" s="22">
        <f t="shared" si="4"/>
        <v>250493.41999999998</v>
      </c>
      <c r="M26" s="22">
        <f t="shared" si="4"/>
        <v>41624.498</v>
      </c>
      <c r="N26" s="22">
        <f t="shared" si="4"/>
        <v>473.796</v>
      </c>
      <c r="O26" s="22">
        <f t="shared" si="4"/>
        <v>0</v>
      </c>
      <c r="P26" s="22">
        <f t="shared" si="4"/>
        <v>4408.400000000001</v>
      </c>
      <c r="Q26" s="22">
        <f t="shared" si="4"/>
        <v>856</v>
      </c>
      <c r="R26" s="22">
        <f t="shared" si="4"/>
        <v>0</v>
      </c>
      <c r="T26" s="33"/>
    </row>
    <row r="27" spans="1:20" s="37" customFormat="1" ht="15">
      <c r="A27" s="84" t="s">
        <v>70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T27" s="48"/>
    </row>
    <row r="28" spans="1:20" s="37" customFormat="1" ht="15">
      <c r="A28" s="38">
        <v>1</v>
      </c>
      <c r="B28" s="35" t="s">
        <v>69</v>
      </c>
      <c r="C28" s="35"/>
      <c r="D28" s="35"/>
      <c r="E28" s="35"/>
      <c r="F28" s="39"/>
      <c r="G28" s="3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  <c r="T28" s="48"/>
    </row>
    <row r="29" spans="1:20" ht="30.75" customHeight="1">
      <c r="A29" s="27" t="s">
        <v>54</v>
      </c>
      <c r="B29" s="28" t="s">
        <v>101</v>
      </c>
      <c r="C29" s="29" t="s">
        <v>16</v>
      </c>
      <c r="D29" s="30" t="s">
        <v>35</v>
      </c>
      <c r="E29" s="83" t="s">
        <v>150</v>
      </c>
      <c r="F29" s="31" t="s">
        <v>79</v>
      </c>
      <c r="G29" s="31" t="s">
        <v>48</v>
      </c>
      <c r="H29" s="18">
        <f aca="true" t="shared" si="5" ref="H29:H35">I29+L29</f>
        <v>23.9496</v>
      </c>
      <c r="I29" s="18">
        <f>L29*0.02</f>
        <v>0.4696</v>
      </c>
      <c r="J29" s="18"/>
      <c r="K29" s="18"/>
      <c r="L29" s="18">
        <f>11.74*2</f>
        <v>23.48</v>
      </c>
      <c r="M29" s="18">
        <f>I29</f>
        <v>0.4696</v>
      </c>
      <c r="N29" s="18"/>
      <c r="O29" s="18"/>
      <c r="P29" s="18"/>
      <c r="Q29" s="18"/>
      <c r="R29" s="18"/>
      <c r="T29" s="33"/>
    </row>
    <row r="30" spans="1:20" ht="30.75">
      <c r="A30" s="27" t="s">
        <v>55</v>
      </c>
      <c r="B30" s="28" t="s">
        <v>101</v>
      </c>
      <c r="C30" s="29" t="s">
        <v>17</v>
      </c>
      <c r="D30" s="30" t="s">
        <v>35</v>
      </c>
      <c r="E30" s="87"/>
      <c r="F30" s="31" t="s">
        <v>18</v>
      </c>
      <c r="G30" s="31" t="s">
        <v>48</v>
      </c>
      <c r="H30" s="18">
        <f t="shared" si="5"/>
        <v>0.2</v>
      </c>
      <c r="I30" s="18">
        <v>0.2</v>
      </c>
      <c r="J30" s="18"/>
      <c r="K30" s="18"/>
      <c r="L30" s="18"/>
      <c r="M30" s="18"/>
      <c r="N30" s="18"/>
      <c r="O30" s="18"/>
      <c r="P30" s="18">
        <v>0.2</v>
      </c>
      <c r="Q30" s="18"/>
      <c r="R30" s="18"/>
      <c r="T30" s="33"/>
    </row>
    <row r="31" spans="1:20" ht="15">
      <c r="A31" s="27" t="s">
        <v>56</v>
      </c>
      <c r="B31" s="40" t="s">
        <v>76</v>
      </c>
      <c r="C31" s="29" t="s">
        <v>46</v>
      </c>
      <c r="D31" s="30" t="s">
        <v>35</v>
      </c>
      <c r="E31" s="87"/>
      <c r="F31" s="31" t="s">
        <v>21</v>
      </c>
      <c r="G31" s="31" t="s">
        <v>48</v>
      </c>
      <c r="H31" s="18">
        <f t="shared" si="5"/>
        <v>2</v>
      </c>
      <c r="I31" s="18">
        <v>2</v>
      </c>
      <c r="J31" s="18"/>
      <c r="K31" s="18"/>
      <c r="L31" s="18"/>
      <c r="M31" s="18"/>
      <c r="N31" s="18"/>
      <c r="O31" s="18"/>
      <c r="P31" s="18">
        <v>2</v>
      </c>
      <c r="Q31" s="18"/>
      <c r="R31" s="18"/>
      <c r="T31" s="33"/>
    </row>
    <row r="32" spans="1:20" ht="27" customHeight="1">
      <c r="A32" s="27" t="s">
        <v>57</v>
      </c>
      <c r="B32" s="28" t="s">
        <v>77</v>
      </c>
      <c r="C32" s="29" t="s">
        <v>46</v>
      </c>
      <c r="D32" s="30" t="s">
        <v>74</v>
      </c>
      <c r="E32" s="87"/>
      <c r="F32" s="31" t="s">
        <v>21</v>
      </c>
      <c r="G32" s="31" t="s">
        <v>48</v>
      </c>
      <c r="H32" s="18">
        <f t="shared" si="5"/>
        <v>10</v>
      </c>
      <c r="I32" s="18">
        <v>10</v>
      </c>
      <c r="J32" s="18"/>
      <c r="K32" s="18"/>
      <c r="L32" s="18"/>
      <c r="M32" s="18"/>
      <c r="N32" s="18"/>
      <c r="O32" s="18"/>
      <c r="P32" s="18">
        <f>H32</f>
        <v>10</v>
      </c>
      <c r="Q32" s="18"/>
      <c r="R32" s="18"/>
      <c r="T32" s="33"/>
    </row>
    <row r="33" spans="1:20" ht="15">
      <c r="A33" s="27" t="s">
        <v>58</v>
      </c>
      <c r="B33" s="28" t="s">
        <v>41</v>
      </c>
      <c r="C33" s="29" t="s">
        <v>22</v>
      </c>
      <c r="D33" s="30" t="s">
        <v>49</v>
      </c>
      <c r="E33" s="77" t="s">
        <v>51</v>
      </c>
      <c r="F33" s="29" t="s">
        <v>149</v>
      </c>
      <c r="G33" s="31" t="s">
        <v>48</v>
      </c>
      <c r="H33" s="18">
        <f t="shared" si="5"/>
        <v>0.5</v>
      </c>
      <c r="I33" s="18">
        <v>0.5</v>
      </c>
      <c r="J33" s="18"/>
      <c r="K33" s="18"/>
      <c r="L33" s="18"/>
      <c r="M33" s="18">
        <v>0.5</v>
      </c>
      <c r="N33" s="18"/>
      <c r="O33" s="18"/>
      <c r="P33" s="18"/>
      <c r="Q33" s="18"/>
      <c r="R33" s="18"/>
      <c r="T33" s="33"/>
    </row>
    <row r="34" spans="1:20" ht="50.25" customHeight="1">
      <c r="A34" s="27" t="s">
        <v>59</v>
      </c>
      <c r="B34" s="28" t="s">
        <v>40</v>
      </c>
      <c r="C34" s="29" t="s">
        <v>47</v>
      </c>
      <c r="D34" s="30" t="s">
        <v>35</v>
      </c>
      <c r="E34" s="77"/>
      <c r="F34" s="29" t="s">
        <v>145</v>
      </c>
      <c r="G34" s="31" t="s">
        <v>48</v>
      </c>
      <c r="H34" s="18">
        <f t="shared" si="5"/>
        <v>4</v>
      </c>
      <c r="I34" s="18">
        <v>4</v>
      </c>
      <c r="J34" s="18"/>
      <c r="K34" s="18"/>
      <c r="L34" s="18"/>
      <c r="M34" s="18"/>
      <c r="N34" s="18"/>
      <c r="O34" s="18"/>
      <c r="P34" s="18"/>
      <c r="Q34" s="18">
        <v>4</v>
      </c>
      <c r="R34" s="18"/>
      <c r="T34" s="33"/>
    </row>
    <row r="35" spans="1:20" ht="46.5">
      <c r="A35" s="27" t="s">
        <v>60</v>
      </c>
      <c r="B35" s="28" t="s">
        <v>45</v>
      </c>
      <c r="C35" s="29" t="s">
        <v>16</v>
      </c>
      <c r="D35" s="29" t="s">
        <v>159</v>
      </c>
      <c r="E35" s="29" t="s">
        <v>113</v>
      </c>
      <c r="F35" s="29" t="s">
        <v>151</v>
      </c>
      <c r="G35" s="31" t="s">
        <v>48</v>
      </c>
      <c r="H35" s="18">
        <f t="shared" si="5"/>
        <v>700.3889999999999</v>
      </c>
      <c r="I35" s="18">
        <f>L35*0.0075*24</f>
        <v>106.83899999999997</v>
      </c>
      <c r="J35" s="18"/>
      <c r="K35" s="18"/>
      <c r="L35" s="18">
        <v>593.55</v>
      </c>
      <c r="M35" s="18">
        <f>I35</f>
        <v>106.83899999999997</v>
      </c>
      <c r="N35" s="18"/>
      <c r="O35" s="18"/>
      <c r="P35" s="18">
        <f>I35-M35</f>
        <v>0</v>
      </c>
      <c r="Q35" s="18"/>
      <c r="R35" s="18"/>
      <c r="T35" s="33"/>
    </row>
    <row r="36" spans="1:20" s="37" customFormat="1" ht="15.75" customHeight="1">
      <c r="A36" s="41"/>
      <c r="B36" s="42" t="s">
        <v>24</v>
      </c>
      <c r="C36" s="43"/>
      <c r="D36" s="44"/>
      <c r="E36" s="44"/>
      <c r="F36" s="44"/>
      <c r="G36" s="45"/>
      <c r="H36" s="22">
        <f>SUM(H29:H35)</f>
        <v>741.0385999999999</v>
      </c>
      <c r="I36" s="22">
        <f aca="true" t="shared" si="6" ref="I36:R36">SUM(I29:I35)</f>
        <v>124.00859999999997</v>
      </c>
      <c r="J36" s="22">
        <f t="shared" si="6"/>
        <v>0</v>
      </c>
      <c r="K36" s="22">
        <f t="shared" si="6"/>
        <v>0</v>
      </c>
      <c r="L36" s="22">
        <f t="shared" si="6"/>
        <v>617.03</v>
      </c>
      <c r="M36" s="22">
        <f t="shared" si="6"/>
        <v>107.80859999999997</v>
      </c>
      <c r="N36" s="22">
        <f t="shared" si="6"/>
        <v>0</v>
      </c>
      <c r="O36" s="22">
        <f t="shared" si="6"/>
        <v>0</v>
      </c>
      <c r="P36" s="22">
        <f t="shared" si="6"/>
        <v>12.2</v>
      </c>
      <c r="Q36" s="22">
        <f t="shared" si="6"/>
        <v>4</v>
      </c>
      <c r="R36" s="22">
        <f t="shared" si="6"/>
        <v>0</v>
      </c>
      <c r="T36" s="48"/>
    </row>
    <row r="37" spans="1:20" s="37" customFormat="1" ht="15">
      <c r="A37" s="38">
        <v>2</v>
      </c>
      <c r="B37" s="47" t="s">
        <v>25</v>
      </c>
      <c r="C37" s="35"/>
      <c r="D37" s="35"/>
      <c r="E37" s="35"/>
      <c r="F37" s="39"/>
      <c r="G37" s="39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T37" s="48"/>
    </row>
    <row r="38" spans="1:20" ht="30.75" customHeight="1">
      <c r="A38" s="27" t="s">
        <v>63</v>
      </c>
      <c r="B38" s="28" t="s">
        <v>26</v>
      </c>
      <c r="C38" s="29" t="s">
        <v>27</v>
      </c>
      <c r="D38" s="30" t="s">
        <v>36</v>
      </c>
      <c r="E38" s="83" t="s">
        <v>29</v>
      </c>
      <c r="F38" s="31">
        <v>0.012</v>
      </c>
      <c r="G38" s="31" t="s">
        <v>48</v>
      </c>
      <c r="H38" s="18">
        <f>F38*2</f>
        <v>0.024</v>
      </c>
      <c r="I38" s="18">
        <f>H38</f>
        <v>0.024</v>
      </c>
      <c r="J38" s="21"/>
      <c r="K38" s="19"/>
      <c r="L38" s="21"/>
      <c r="M38" s="19"/>
      <c r="N38" s="18">
        <f>H38</f>
        <v>0.024</v>
      </c>
      <c r="O38" s="20"/>
      <c r="P38" s="21"/>
      <c r="Q38" s="21"/>
      <c r="R38" s="21"/>
      <c r="T38" s="33"/>
    </row>
    <row r="39" spans="1:20" ht="15.75" customHeight="1">
      <c r="A39" s="27" t="s">
        <v>64</v>
      </c>
      <c r="B39" s="28" t="s">
        <v>43</v>
      </c>
      <c r="C39" s="29" t="s">
        <v>27</v>
      </c>
      <c r="D39" s="30" t="s">
        <v>37</v>
      </c>
      <c r="E39" s="87"/>
      <c r="F39" s="31">
        <v>0.025</v>
      </c>
      <c r="G39" s="31" t="s">
        <v>48</v>
      </c>
      <c r="H39" s="18">
        <f>F39*28</f>
        <v>0.7000000000000001</v>
      </c>
      <c r="I39" s="18">
        <f>H39</f>
        <v>0.7000000000000001</v>
      </c>
      <c r="J39" s="21"/>
      <c r="K39" s="19"/>
      <c r="L39" s="21"/>
      <c r="M39" s="19"/>
      <c r="N39" s="18">
        <f>H39</f>
        <v>0.7000000000000001</v>
      </c>
      <c r="O39" s="20"/>
      <c r="P39" s="21"/>
      <c r="Q39" s="21"/>
      <c r="R39" s="21"/>
      <c r="T39" s="33"/>
    </row>
    <row r="40" spans="1:20" ht="15">
      <c r="A40" s="27" t="s">
        <v>65</v>
      </c>
      <c r="B40" s="28" t="s">
        <v>44</v>
      </c>
      <c r="C40" s="29" t="s">
        <v>27</v>
      </c>
      <c r="D40" s="30" t="s">
        <v>23</v>
      </c>
      <c r="E40" s="87"/>
      <c r="F40" s="31">
        <v>0.5</v>
      </c>
      <c r="G40" s="31" t="s">
        <v>48</v>
      </c>
      <c r="H40" s="18">
        <v>1</v>
      </c>
      <c r="I40" s="18">
        <f>H40</f>
        <v>1</v>
      </c>
      <c r="J40" s="21"/>
      <c r="K40" s="19"/>
      <c r="L40" s="21"/>
      <c r="M40" s="19"/>
      <c r="N40" s="18">
        <f>H40</f>
        <v>1</v>
      </c>
      <c r="O40" s="20"/>
      <c r="P40" s="21"/>
      <c r="Q40" s="21"/>
      <c r="R40" s="21"/>
      <c r="T40" s="33"/>
    </row>
    <row r="41" spans="1:20" ht="15.75" customHeight="1">
      <c r="A41" s="27" t="s">
        <v>66</v>
      </c>
      <c r="B41" s="28" t="s">
        <v>31</v>
      </c>
      <c r="C41" s="29" t="s">
        <v>27</v>
      </c>
      <c r="D41" s="30" t="s">
        <v>107</v>
      </c>
      <c r="E41" s="82"/>
      <c r="F41" s="31">
        <v>0.0005</v>
      </c>
      <c r="G41" s="31" t="s">
        <v>48</v>
      </c>
      <c r="H41" s="18">
        <f>F41*981.6</f>
        <v>0.4908</v>
      </c>
      <c r="I41" s="18">
        <f>H41</f>
        <v>0.4908</v>
      </c>
      <c r="J41" s="21"/>
      <c r="K41" s="19"/>
      <c r="L41" s="21"/>
      <c r="M41" s="19"/>
      <c r="N41" s="18">
        <f>H41</f>
        <v>0.4908</v>
      </c>
      <c r="O41" s="20"/>
      <c r="P41" s="21"/>
      <c r="Q41" s="21"/>
      <c r="R41" s="21"/>
      <c r="T41" s="33"/>
    </row>
    <row r="42" spans="1:20" s="37" customFormat="1" ht="15.75" customHeight="1">
      <c r="A42" s="41"/>
      <c r="B42" s="42" t="s">
        <v>24</v>
      </c>
      <c r="C42" s="43"/>
      <c r="D42" s="44"/>
      <c r="E42" s="44"/>
      <c r="F42" s="44"/>
      <c r="G42" s="45"/>
      <c r="H42" s="22">
        <f>SUM(H38:H41)</f>
        <v>2.2148000000000003</v>
      </c>
      <c r="I42" s="22">
        <f aca="true" t="shared" si="7" ref="I42:R42">SUM(I38:I41)</f>
        <v>2.2148000000000003</v>
      </c>
      <c r="J42" s="22">
        <f t="shared" si="7"/>
        <v>0</v>
      </c>
      <c r="K42" s="22">
        <f t="shared" si="7"/>
        <v>0</v>
      </c>
      <c r="L42" s="22">
        <f t="shared" si="7"/>
        <v>0</v>
      </c>
      <c r="M42" s="22">
        <f t="shared" si="7"/>
        <v>0</v>
      </c>
      <c r="N42" s="22">
        <f t="shared" si="7"/>
        <v>2.2148000000000003</v>
      </c>
      <c r="O42" s="22">
        <f t="shared" si="7"/>
        <v>0</v>
      </c>
      <c r="P42" s="22">
        <f t="shared" si="7"/>
        <v>0</v>
      </c>
      <c r="Q42" s="22">
        <f t="shared" si="7"/>
        <v>0</v>
      </c>
      <c r="R42" s="22">
        <f t="shared" si="7"/>
        <v>0</v>
      </c>
      <c r="T42" s="48"/>
    </row>
    <row r="43" spans="1:20" s="37" customFormat="1" ht="15">
      <c r="A43" s="38">
        <v>3</v>
      </c>
      <c r="B43" s="47" t="s">
        <v>128</v>
      </c>
      <c r="C43" s="35"/>
      <c r="D43" s="35"/>
      <c r="E43" s="35"/>
      <c r="F43" s="39"/>
      <c r="G43" s="39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T43" s="48"/>
    </row>
    <row r="44" spans="1:20" ht="46.5">
      <c r="A44" s="27" t="s">
        <v>130</v>
      </c>
      <c r="B44" s="28" t="s">
        <v>52</v>
      </c>
      <c r="C44" s="29" t="s">
        <v>72</v>
      </c>
      <c r="D44" s="30" t="s">
        <v>230</v>
      </c>
      <c r="E44" s="29" t="s">
        <v>111</v>
      </c>
      <c r="F44" s="30" t="s">
        <v>114</v>
      </c>
      <c r="G44" s="31" t="s">
        <v>48</v>
      </c>
      <c r="H44" s="18"/>
      <c r="I44" s="18">
        <v>10.8</v>
      </c>
      <c r="J44" s="18"/>
      <c r="K44" s="18"/>
      <c r="L44" s="18"/>
      <c r="M44" s="18">
        <v>0</v>
      </c>
      <c r="N44" s="18"/>
      <c r="O44" s="18"/>
      <c r="P44" s="18">
        <f>I44</f>
        <v>10.8</v>
      </c>
      <c r="Q44" s="18"/>
      <c r="R44" s="18"/>
      <c r="T44" s="33"/>
    </row>
    <row r="45" spans="1:20" ht="15">
      <c r="A45" s="40"/>
      <c r="B45" s="44" t="s">
        <v>97</v>
      </c>
      <c r="C45" s="40"/>
      <c r="D45" s="44"/>
      <c r="E45" s="44"/>
      <c r="F45" s="44"/>
      <c r="G45" s="44"/>
      <c r="H45" s="22">
        <f>I45</f>
        <v>137.02339999999998</v>
      </c>
      <c r="I45" s="22">
        <f>I36+I42+I44</f>
        <v>137.02339999999998</v>
      </c>
      <c r="J45" s="22">
        <f aca="true" t="shared" si="8" ref="J45:R45">J36+J42+J44</f>
        <v>0</v>
      </c>
      <c r="K45" s="22">
        <f t="shared" si="8"/>
        <v>0</v>
      </c>
      <c r="L45" s="22">
        <f t="shared" si="8"/>
        <v>617.03</v>
      </c>
      <c r="M45" s="22">
        <f t="shared" si="8"/>
        <v>107.80859999999997</v>
      </c>
      <c r="N45" s="22">
        <f t="shared" si="8"/>
        <v>2.2148000000000003</v>
      </c>
      <c r="O45" s="22">
        <f t="shared" si="8"/>
        <v>0</v>
      </c>
      <c r="P45" s="22">
        <f t="shared" si="8"/>
        <v>23</v>
      </c>
      <c r="Q45" s="22">
        <f t="shared" si="8"/>
        <v>4</v>
      </c>
      <c r="R45" s="22">
        <f t="shared" si="8"/>
        <v>0</v>
      </c>
      <c r="S45" s="73">
        <f>SUM(N45:R45)</f>
        <v>29.2148</v>
      </c>
      <c r="T45" s="33">
        <f>S45/I45*100</f>
        <v>21.321029838699086</v>
      </c>
    </row>
    <row r="46" spans="1:20" ht="15">
      <c r="A46" s="40"/>
      <c r="B46" s="44" t="s">
        <v>115</v>
      </c>
      <c r="C46" s="40"/>
      <c r="D46" s="44"/>
      <c r="E46" s="44"/>
      <c r="F46" s="44"/>
      <c r="G46" s="44"/>
      <c r="H46" s="22">
        <f>H45*152</f>
        <v>20827.5568</v>
      </c>
      <c r="I46" s="22">
        <f aca="true" t="shared" si="9" ref="I46:R46">I45*152</f>
        <v>20827.5568</v>
      </c>
      <c r="J46" s="22">
        <f t="shared" si="9"/>
        <v>0</v>
      </c>
      <c r="K46" s="22">
        <f t="shared" si="9"/>
        <v>0</v>
      </c>
      <c r="L46" s="22">
        <f>L45*152</f>
        <v>93788.56</v>
      </c>
      <c r="M46" s="22">
        <f t="shared" si="9"/>
        <v>16386.907199999994</v>
      </c>
      <c r="N46" s="22">
        <f t="shared" si="9"/>
        <v>336.6496000000001</v>
      </c>
      <c r="O46" s="22">
        <f t="shared" si="9"/>
        <v>0</v>
      </c>
      <c r="P46" s="22">
        <f t="shared" si="9"/>
        <v>3496</v>
      </c>
      <c r="Q46" s="22">
        <f t="shared" si="9"/>
        <v>608</v>
      </c>
      <c r="R46" s="22">
        <f t="shared" si="9"/>
        <v>0</v>
      </c>
      <c r="T46" s="33"/>
    </row>
    <row r="47" spans="1:18" ht="20.25" customHeight="1">
      <c r="A47" s="40"/>
      <c r="B47" s="44" t="s">
        <v>188</v>
      </c>
      <c r="C47" s="40"/>
      <c r="D47" s="44"/>
      <c r="E47" s="44"/>
      <c r="F47" s="44"/>
      <c r="G47" s="44"/>
      <c r="H47" s="22">
        <f>H26+H46</f>
        <v>318683.0716</v>
      </c>
      <c r="I47" s="22">
        <f aca="true" t="shared" si="10" ref="I47:R47">I26+I46</f>
        <v>68189.6516</v>
      </c>
      <c r="J47" s="22">
        <f t="shared" si="10"/>
        <v>0</v>
      </c>
      <c r="K47" s="22">
        <f t="shared" si="10"/>
        <v>0</v>
      </c>
      <c r="L47" s="22">
        <f t="shared" si="10"/>
        <v>344281.98</v>
      </c>
      <c r="M47" s="22">
        <f t="shared" si="10"/>
        <v>58011.405199999994</v>
      </c>
      <c r="N47" s="22">
        <f t="shared" si="10"/>
        <v>810.4456</v>
      </c>
      <c r="O47" s="22">
        <f t="shared" si="10"/>
        <v>0</v>
      </c>
      <c r="P47" s="22">
        <f t="shared" si="10"/>
        <v>7904.400000000001</v>
      </c>
      <c r="Q47" s="22">
        <f t="shared" si="10"/>
        <v>1464</v>
      </c>
      <c r="R47" s="22">
        <f t="shared" si="10"/>
        <v>0</v>
      </c>
    </row>
    <row r="49" ht="15">
      <c r="A49" s="32" t="s">
        <v>116</v>
      </c>
    </row>
    <row r="51" spans="1:6" ht="62.25">
      <c r="A51" s="29" t="s">
        <v>123</v>
      </c>
      <c r="B51" s="29" t="s">
        <v>124</v>
      </c>
      <c r="C51" s="29" t="s">
        <v>119</v>
      </c>
      <c r="D51" s="29" t="s">
        <v>120</v>
      </c>
      <c r="E51" s="29" t="s">
        <v>121</v>
      </c>
      <c r="F51" s="29" t="s">
        <v>122</v>
      </c>
    </row>
    <row r="52" spans="1:6" ht="15">
      <c r="A52" s="57" t="s">
        <v>62</v>
      </c>
      <c r="B52" s="28" t="s">
        <v>117</v>
      </c>
      <c r="C52" s="53">
        <v>391.79</v>
      </c>
      <c r="D52" s="53">
        <v>129.93</v>
      </c>
      <c r="E52" s="53">
        <v>544.49</v>
      </c>
      <c r="F52" s="53">
        <f>C52+D52+E52</f>
        <v>1066.21</v>
      </c>
    </row>
    <row r="53" spans="1:6" ht="15">
      <c r="A53" s="57" t="s">
        <v>129</v>
      </c>
      <c r="B53" s="28" t="s">
        <v>118</v>
      </c>
      <c r="C53" s="53">
        <v>593.55</v>
      </c>
      <c r="D53" s="53">
        <v>0</v>
      </c>
      <c r="E53" s="53">
        <v>0</v>
      </c>
      <c r="F53" s="53">
        <f>C53+D53+E53</f>
        <v>593.55</v>
      </c>
    </row>
    <row r="54" spans="1:6" ht="30.75">
      <c r="A54" s="57" t="s">
        <v>130</v>
      </c>
      <c r="B54" s="28" t="s">
        <v>108</v>
      </c>
      <c r="C54" s="53">
        <v>391.79</v>
      </c>
      <c r="D54" s="53">
        <v>129.93</v>
      </c>
      <c r="E54" s="53">
        <v>0</v>
      </c>
      <c r="F54" s="53">
        <f>C54+D54+E54</f>
        <v>521.72</v>
      </c>
    </row>
    <row r="56" ht="18">
      <c r="A56" s="56" t="s">
        <v>187</v>
      </c>
    </row>
  </sheetData>
  <sheetProtection/>
  <mergeCells count="18">
    <mergeCell ref="A7:R7"/>
    <mergeCell ref="E20:E23"/>
    <mergeCell ref="E38:E41"/>
    <mergeCell ref="A27:R27"/>
    <mergeCell ref="E9:E14"/>
    <mergeCell ref="E15:E16"/>
    <mergeCell ref="E33:E34"/>
    <mergeCell ref="E29:E32"/>
    <mergeCell ref="R5:R6"/>
    <mergeCell ref="A5:A6"/>
    <mergeCell ref="I5:L5"/>
    <mergeCell ref="M5:M6"/>
    <mergeCell ref="H5:H6"/>
    <mergeCell ref="N5:Q5"/>
    <mergeCell ref="B5:B6"/>
    <mergeCell ref="E5:G5"/>
    <mergeCell ref="C5:C6"/>
    <mergeCell ref="D5:D6"/>
  </mergeCells>
  <printOptions horizontalCentered="1"/>
  <pageMargins left="0.7" right="0.7" top="0.75" bottom="0.75" header="0.3" footer="0.3"/>
  <pageSetup fitToHeight="0" fitToWidth="1" horizontalDpi="600" verticalDpi="600" orientation="landscape" paperSize="8" scale="85" r:id="rId2"/>
  <rowBreaks count="1" manualBreakCount="1">
    <brk id="26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view="pageBreakPreview" zoomScale="55" zoomScaleNormal="70" zoomScaleSheetLayoutView="55" workbookViewId="0" topLeftCell="A16">
      <selection activeCell="D38" sqref="D38"/>
    </sheetView>
  </sheetViews>
  <sheetFormatPr defaultColWidth="9.00390625" defaultRowHeight="12.75"/>
  <cols>
    <col min="1" max="1" width="9.75390625" style="32" customWidth="1"/>
    <col min="2" max="2" width="31.00390625" style="32" customWidth="1"/>
    <col min="3" max="3" width="16.50390625" style="32" customWidth="1"/>
    <col min="4" max="4" width="16.625" style="32" customWidth="1"/>
    <col min="5" max="5" width="17.50390625" style="32" customWidth="1"/>
    <col min="6" max="6" width="12.50390625" style="32" customWidth="1"/>
    <col min="7" max="7" width="10.875" style="32" customWidth="1"/>
    <col min="8" max="8" width="14.50390625" style="32" customWidth="1"/>
    <col min="9" max="9" width="15.625" style="32" customWidth="1"/>
    <col min="10" max="10" width="5.75390625" style="32" customWidth="1"/>
    <col min="11" max="11" width="5.875" style="32" customWidth="1"/>
    <col min="12" max="12" width="16.125" style="32" customWidth="1"/>
    <col min="13" max="13" width="15.625" style="32" customWidth="1"/>
    <col min="14" max="14" width="13.75390625" style="32" customWidth="1"/>
    <col min="15" max="15" width="6.50390625" style="32" customWidth="1"/>
    <col min="16" max="16" width="12.125" style="32" customWidth="1"/>
    <col min="17" max="17" width="13.50390625" style="32" customWidth="1"/>
    <col min="18" max="18" width="7.50390625" style="32" customWidth="1"/>
    <col min="19" max="19" width="15.125" style="32" customWidth="1"/>
    <col min="20" max="20" width="9.50390625" style="32" customWidth="1"/>
    <col min="21" max="16384" width="8.875" style="32" customWidth="1"/>
  </cols>
  <sheetData>
    <row r="1" spans="1:8" s="55" customFormat="1" ht="17.25">
      <c r="A1" s="55" t="s">
        <v>220</v>
      </c>
      <c r="H1" s="66"/>
    </row>
    <row r="2" s="56" customFormat="1" ht="18">
      <c r="A2" s="56" t="s">
        <v>78</v>
      </c>
    </row>
    <row r="3" s="56" customFormat="1" ht="18">
      <c r="A3" s="56" t="s">
        <v>81</v>
      </c>
    </row>
    <row r="5" spans="1:18" ht="38.25" customHeight="1">
      <c r="A5" s="77" t="s">
        <v>189</v>
      </c>
      <c r="B5" s="83" t="s">
        <v>50</v>
      </c>
      <c r="C5" s="83" t="s">
        <v>33</v>
      </c>
      <c r="D5" s="83" t="s">
        <v>39</v>
      </c>
      <c r="E5" s="78" t="s">
        <v>1</v>
      </c>
      <c r="F5" s="79"/>
      <c r="G5" s="80"/>
      <c r="H5" s="81" t="s">
        <v>34</v>
      </c>
      <c r="I5" s="78" t="s">
        <v>5</v>
      </c>
      <c r="J5" s="79"/>
      <c r="K5" s="79"/>
      <c r="L5" s="80"/>
      <c r="M5" s="75" t="s">
        <v>20</v>
      </c>
      <c r="N5" s="78" t="s">
        <v>10</v>
      </c>
      <c r="O5" s="79"/>
      <c r="P5" s="79"/>
      <c r="Q5" s="80"/>
      <c r="R5" s="75" t="s">
        <v>11</v>
      </c>
    </row>
    <row r="6" spans="1:18" ht="93" customHeight="1">
      <c r="A6" s="77"/>
      <c r="B6" s="82"/>
      <c r="C6" s="82"/>
      <c r="D6" s="82"/>
      <c r="E6" s="34" t="s">
        <v>2</v>
      </c>
      <c r="F6" s="34" t="s">
        <v>3</v>
      </c>
      <c r="G6" s="34" t="s">
        <v>4</v>
      </c>
      <c r="H6" s="82"/>
      <c r="I6" s="34" t="s">
        <v>8</v>
      </c>
      <c r="J6" s="34" t="s">
        <v>6</v>
      </c>
      <c r="K6" s="34" t="s">
        <v>7</v>
      </c>
      <c r="L6" s="34" t="s">
        <v>9</v>
      </c>
      <c r="M6" s="76"/>
      <c r="N6" s="34" t="s">
        <v>12</v>
      </c>
      <c r="O6" s="34" t="s">
        <v>13</v>
      </c>
      <c r="P6" s="34" t="s">
        <v>14</v>
      </c>
      <c r="Q6" s="34" t="s">
        <v>15</v>
      </c>
      <c r="R6" s="76"/>
    </row>
    <row r="7" spans="1:18" s="37" customFormat="1" ht="15">
      <c r="A7" s="84" t="s">
        <v>68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s="37" customFormat="1" ht="15">
      <c r="A8" s="38">
        <v>1</v>
      </c>
      <c r="B8" s="35" t="s">
        <v>69</v>
      </c>
      <c r="C8" s="35"/>
      <c r="D8" s="35"/>
      <c r="E8" s="35"/>
      <c r="F8" s="39"/>
      <c r="G8" s="39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62.25" customHeight="1">
      <c r="A9" s="27" t="s">
        <v>190</v>
      </c>
      <c r="B9" s="28" t="s">
        <v>191</v>
      </c>
      <c r="C9" s="29" t="s">
        <v>17</v>
      </c>
      <c r="D9" s="30" t="s">
        <v>19</v>
      </c>
      <c r="E9" s="68" t="s">
        <v>192</v>
      </c>
      <c r="F9" s="31" t="s">
        <v>154</v>
      </c>
      <c r="G9" s="31" t="s">
        <v>48</v>
      </c>
      <c r="H9" s="18">
        <f>I9+L9</f>
        <v>170.65923287671234</v>
      </c>
      <c r="I9" s="18">
        <f>L9*12/365*0.1</f>
        <v>0.5592328767123289</v>
      </c>
      <c r="J9" s="18"/>
      <c r="K9" s="18"/>
      <c r="L9" s="18">
        <f>56.7*3</f>
        <v>170.10000000000002</v>
      </c>
      <c r="M9" s="18"/>
      <c r="N9" s="18"/>
      <c r="O9" s="18"/>
      <c r="P9" s="18">
        <f>I9</f>
        <v>0.5592328767123289</v>
      </c>
      <c r="Q9" s="18"/>
      <c r="R9" s="18"/>
    </row>
    <row r="10" spans="1:18" ht="62.25">
      <c r="A10" s="27" t="s">
        <v>193</v>
      </c>
      <c r="B10" s="28" t="s">
        <v>194</v>
      </c>
      <c r="C10" s="29" t="s">
        <v>195</v>
      </c>
      <c r="D10" s="30" t="s">
        <v>35</v>
      </c>
      <c r="E10" s="68" t="s">
        <v>192</v>
      </c>
      <c r="F10" s="29" t="s">
        <v>196</v>
      </c>
      <c r="G10" s="31" t="s">
        <v>48</v>
      </c>
      <c r="H10" s="18">
        <f>I10+L10</f>
        <v>18.54</v>
      </c>
      <c r="I10" s="18">
        <v>18.54</v>
      </c>
      <c r="J10" s="18"/>
      <c r="K10" s="18"/>
      <c r="L10" s="18"/>
      <c r="M10" s="18"/>
      <c r="N10" s="18"/>
      <c r="O10" s="18"/>
      <c r="P10" s="18"/>
      <c r="Q10" s="18">
        <v>18.54</v>
      </c>
      <c r="R10" s="18"/>
    </row>
    <row r="11" spans="1:18" ht="62.25">
      <c r="A11" s="27" t="s">
        <v>197</v>
      </c>
      <c r="B11" s="28" t="s">
        <v>198</v>
      </c>
      <c r="C11" s="29" t="s">
        <v>199</v>
      </c>
      <c r="D11" s="30" t="s">
        <v>49</v>
      </c>
      <c r="E11" s="68" t="s">
        <v>192</v>
      </c>
      <c r="F11" s="29" t="s">
        <v>200</v>
      </c>
      <c r="G11" s="31" t="s">
        <v>48</v>
      </c>
      <c r="H11" s="18">
        <f>I11+L11</f>
        <v>0.94</v>
      </c>
      <c r="I11" s="18">
        <v>0.94</v>
      </c>
      <c r="J11" s="18"/>
      <c r="K11" s="18"/>
      <c r="L11" s="18"/>
      <c r="M11" s="18"/>
      <c r="N11" s="18"/>
      <c r="O11" s="18"/>
      <c r="P11" s="18"/>
      <c r="Q11" s="18">
        <v>0.94</v>
      </c>
      <c r="R11" s="18"/>
    </row>
    <row r="12" spans="1:18" ht="30.75">
      <c r="A12" s="27" t="s">
        <v>201</v>
      </c>
      <c r="B12" s="28" t="s">
        <v>202</v>
      </c>
      <c r="C12" s="29" t="s">
        <v>16</v>
      </c>
      <c r="D12" s="29" t="s">
        <v>203</v>
      </c>
      <c r="E12" s="29" t="s">
        <v>111</v>
      </c>
      <c r="F12" s="29" t="s">
        <v>204</v>
      </c>
      <c r="G12" s="31" t="s">
        <v>48</v>
      </c>
      <c r="H12" s="18">
        <f>I12+L12</f>
        <v>2129.6672</v>
      </c>
      <c r="I12" s="18">
        <f>L12*0.0025*24</f>
        <v>120.5472</v>
      </c>
      <c r="J12" s="18"/>
      <c r="K12" s="18"/>
      <c r="L12" s="18">
        <v>2009.12</v>
      </c>
      <c r="M12" s="18">
        <f>I12</f>
        <v>120.5472</v>
      </c>
      <c r="N12" s="18"/>
      <c r="O12" s="18"/>
      <c r="P12" s="18"/>
      <c r="Q12" s="18"/>
      <c r="R12" s="18"/>
    </row>
    <row r="13" spans="1:18" ht="24" customHeight="1">
      <c r="A13" s="41"/>
      <c r="B13" s="42" t="s">
        <v>24</v>
      </c>
      <c r="C13" s="43"/>
      <c r="D13" s="44"/>
      <c r="E13" s="44"/>
      <c r="F13" s="44"/>
      <c r="G13" s="45"/>
      <c r="H13" s="22">
        <f aca="true" t="shared" si="0" ref="H13:R13">SUM(H9:H12)</f>
        <v>2319.8064328767123</v>
      </c>
      <c r="I13" s="22">
        <f>SUM(I9:I12)</f>
        <v>140.58643287671234</v>
      </c>
      <c r="J13" s="22">
        <f t="shared" si="0"/>
        <v>0</v>
      </c>
      <c r="K13" s="22">
        <f t="shared" si="0"/>
        <v>0</v>
      </c>
      <c r="L13" s="22">
        <f t="shared" si="0"/>
        <v>2179.22</v>
      </c>
      <c r="M13" s="22">
        <f t="shared" si="0"/>
        <v>120.5472</v>
      </c>
      <c r="N13" s="22">
        <f t="shared" si="0"/>
        <v>0</v>
      </c>
      <c r="O13" s="22">
        <f t="shared" si="0"/>
        <v>0</v>
      </c>
      <c r="P13" s="22">
        <f t="shared" si="0"/>
        <v>0.5592328767123289</v>
      </c>
      <c r="Q13" s="22">
        <f t="shared" si="0"/>
        <v>19.48</v>
      </c>
      <c r="R13" s="22">
        <f t="shared" si="0"/>
        <v>0</v>
      </c>
    </row>
    <row r="14" spans="1:18" ht="37.5" customHeight="1">
      <c r="A14" s="38">
        <v>2</v>
      </c>
      <c r="B14" s="47" t="s">
        <v>25</v>
      </c>
      <c r="C14" s="35"/>
      <c r="D14" s="35"/>
      <c r="E14" s="35"/>
      <c r="F14" s="39"/>
      <c r="G14" s="3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20" s="37" customFormat="1" ht="15.75" customHeight="1">
      <c r="A15" s="27" t="s">
        <v>205</v>
      </c>
      <c r="B15" s="28" t="s">
        <v>42</v>
      </c>
      <c r="C15" s="29" t="s">
        <v>27</v>
      </c>
      <c r="D15" s="30" t="s">
        <v>36</v>
      </c>
      <c r="E15" s="83" t="s">
        <v>29</v>
      </c>
      <c r="F15" s="29">
        <v>0.012</v>
      </c>
      <c r="G15" s="31" t="s">
        <v>48</v>
      </c>
      <c r="H15" s="18">
        <f>F15*2</f>
        <v>0.024</v>
      </c>
      <c r="I15" s="18">
        <f>H15</f>
        <v>0.024</v>
      </c>
      <c r="J15" s="18"/>
      <c r="K15" s="18"/>
      <c r="L15" s="18"/>
      <c r="M15" s="18"/>
      <c r="N15" s="18">
        <f>H15</f>
        <v>0.024</v>
      </c>
      <c r="O15" s="18"/>
      <c r="P15" s="18"/>
      <c r="Q15" s="18"/>
      <c r="R15" s="18"/>
      <c r="T15" s="46"/>
    </row>
    <row r="16" spans="1:18" s="37" customFormat="1" ht="15">
      <c r="A16" s="27" t="s">
        <v>206</v>
      </c>
      <c r="B16" s="28" t="s">
        <v>43</v>
      </c>
      <c r="C16" s="29" t="s">
        <v>27</v>
      </c>
      <c r="D16" s="30" t="s">
        <v>37</v>
      </c>
      <c r="E16" s="87"/>
      <c r="F16" s="29">
        <v>0.025</v>
      </c>
      <c r="G16" s="31" t="s">
        <v>48</v>
      </c>
      <c r="H16" s="18">
        <f>F16*28</f>
        <v>0.7000000000000001</v>
      </c>
      <c r="I16" s="18">
        <f>H16</f>
        <v>0.7000000000000001</v>
      </c>
      <c r="J16" s="18"/>
      <c r="K16" s="18"/>
      <c r="L16" s="18"/>
      <c r="M16" s="18"/>
      <c r="N16" s="18">
        <f>H16</f>
        <v>0.7000000000000001</v>
      </c>
      <c r="O16" s="18"/>
      <c r="P16" s="18"/>
      <c r="Q16" s="18"/>
      <c r="R16" s="18"/>
    </row>
    <row r="17" spans="1:18" ht="30.75" customHeight="1">
      <c r="A17" s="27" t="s">
        <v>207</v>
      </c>
      <c r="B17" s="28" t="s">
        <v>44</v>
      </c>
      <c r="C17" s="29" t="s">
        <v>27</v>
      </c>
      <c r="D17" s="29" t="s">
        <v>23</v>
      </c>
      <c r="E17" s="87"/>
      <c r="F17" s="29">
        <v>0.5</v>
      </c>
      <c r="G17" s="31" t="s">
        <v>48</v>
      </c>
      <c r="H17" s="18">
        <v>1</v>
      </c>
      <c r="I17" s="18">
        <f>H17</f>
        <v>1</v>
      </c>
      <c r="J17" s="18"/>
      <c r="K17" s="18"/>
      <c r="L17" s="18"/>
      <c r="M17" s="18"/>
      <c r="N17" s="18">
        <f>H17</f>
        <v>1</v>
      </c>
      <c r="O17" s="18"/>
      <c r="P17" s="18"/>
      <c r="Q17" s="18"/>
      <c r="R17" s="18"/>
    </row>
    <row r="18" spans="1:18" ht="15.75" customHeight="1">
      <c r="A18" s="27" t="s">
        <v>208</v>
      </c>
      <c r="B18" s="28" t="s">
        <v>31</v>
      </c>
      <c r="C18" s="29" t="s">
        <v>27</v>
      </c>
      <c r="D18" s="30" t="s">
        <v>106</v>
      </c>
      <c r="E18" s="82"/>
      <c r="F18" s="29">
        <v>0.0005</v>
      </c>
      <c r="G18" s="31" t="s">
        <v>48</v>
      </c>
      <c r="H18" s="18">
        <f>F18*666.7</f>
        <v>0.33335000000000004</v>
      </c>
      <c r="I18" s="18">
        <f>H18</f>
        <v>0.33335000000000004</v>
      </c>
      <c r="J18" s="18"/>
      <c r="K18" s="18"/>
      <c r="L18" s="18"/>
      <c r="M18" s="18"/>
      <c r="N18" s="18">
        <f>H18</f>
        <v>0.33335000000000004</v>
      </c>
      <c r="O18" s="18"/>
      <c r="P18" s="18"/>
      <c r="Q18" s="18"/>
      <c r="R18" s="18"/>
    </row>
    <row r="19" spans="1:18" ht="15.75" customHeight="1">
      <c r="A19" s="41"/>
      <c r="B19" s="42" t="s">
        <v>24</v>
      </c>
      <c r="C19" s="44"/>
      <c r="D19" s="44"/>
      <c r="E19" s="44"/>
      <c r="F19" s="44"/>
      <c r="G19" s="44"/>
      <c r="H19" s="22">
        <f>SUM(H15:H18)</f>
        <v>2.0573500000000005</v>
      </c>
      <c r="I19" s="22">
        <f aca="true" t="shared" si="1" ref="I19:R19">SUM(I15:I18)</f>
        <v>2.0573500000000005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2.0573500000000005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22">
        <f t="shared" si="1"/>
        <v>0</v>
      </c>
    </row>
    <row r="20" spans="1:20" ht="15.75" customHeight="1">
      <c r="A20" s="40"/>
      <c r="B20" s="44" t="s">
        <v>67</v>
      </c>
      <c r="C20" s="40"/>
      <c r="D20" s="44"/>
      <c r="E20" s="44"/>
      <c r="F20" s="44"/>
      <c r="G20" s="44"/>
      <c r="H20" s="22">
        <f>H19+H13</f>
        <v>2321.8637828767123</v>
      </c>
      <c r="I20" s="22">
        <f>I19+I13</f>
        <v>142.64378287671235</v>
      </c>
      <c r="J20" s="22">
        <f aca="true" t="shared" si="2" ref="J20:R20">J19+J13</f>
        <v>0</v>
      </c>
      <c r="K20" s="22">
        <f t="shared" si="2"/>
        <v>0</v>
      </c>
      <c r="L20" s="22">
        <f t="shared" si="2"/>
        <v>2179.22</v>
      </c>
      <c r="M20" s="22">
        <f t="shared" si="2"/>
        <v>120.5472</v>
      </c>
      <c r="N20" s="22">
        <f t="shared" si="2"/>
        <v>2.0573500000000005</v>
      </c>
      <c r="O20" s="22">
        <f t="shared" si="2"/>
        <v>0</v>
      </c>
      <c r="P20" s="22">
        <f t="shared" si="2"/>
        <v>0.5592328767123289</v>
      </c>
      <c r="Q20" s="22">
        <f t="shared" si="2"/>
        <v>19.48</v>
      </c>
      <c r="R20" s="22">
        <f t="shared" si="2"/>
        <v>0</v>
      </c>
      <c r="S20" s="73">
        <f>SUM(N20:R20)</f>
        <v>22.09658287671233</v>
      </c>
      <c r="T20" s="33">
        <f>S20/I20*100</f>
        <v>15.490743747177893</v>
      </c>
    </row>
    <row r="21" spans="1:20" ht="15.75" customHeight="1">
      <c r="A21" s="40"/>
      <c r="B21" s="44" t="s">
        <v>109</v>
      </c>
      <c r="C21" s="40"/>
      <c r="D21" s="44"/>
      <c r="E21" s="44"/>
      <c r="F21" s="44"/>
      <c r="G21" s="44"/>
      <c r="H21" s="22">
        <f>H20*214</f>
        <v>496878.84953561646</v>
      </c>
      <c r="I21" s="22">
        <f aca="true" t="shared" si="3" ref="I21:R21">I20*214</f>
        <v>30525.769535616444</v>
      </c>
      <c r="J21" s="22">
        <f t="shared" si="3"/>
        <v>0</v>
      </c>
      <c r="K21" s="22">
        <f t="shared" si="3"/>
        <v>0</v>
      </c>
      <c r="L21" s="22">
        <f t="shared" si="3"/>
        <v>466353.07999999996</v>
      </c>
      <c r="M21" s="22">
        <f>M20*214</f>
        <v>25797.1008</v>
      </c>
      <c r="N21" s="22">
        <f>N20*214</f>
        <v>440.2729000000001</v>
      </c>
      <c r="O21" s="22">
        <f t="shared" si="3"/>
        <v>0</v>
      </c>
      <c r="P21" s="22">
        <f t="shared" si="3"/>
        <v>119.67583561643839</v>
      </c>
      <c r="Q21" s="22">
        <f t="shared" si="3"/>
        <v>4168.72</v>
      </c>
      <c r="R21" s="22">
        <f t="shared" si="3"/>
        <v>0</v>
      </c>
      <c r="T21" s="33"/>
    </row>
    <row r="22" spans="1:20" s="37" customFormat="1" ht="15" customHeight="1">
      <c r="A22" s="84" t="s">
        <v>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T22" s="48"/>
    </row>
    <row r="23" spans="1:20" ht="15.75" customHeight="1">
      <c r="A23" s="38">
        <v>1</v>
      </c>
      <c r="B23" s="35" t="s">
        <v>69</v>
      </c>
      <c r="C23" s="35"/>
      <c r="D23" s="35"/>
      <c r="E23" s="35"/>
      <c r="F23" s="39"/>
      <c r="G23" s="3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T23" s="48"/>
    </row>
    <row r="24" spans="1:20" s="37" customFormat="1" ht="66.75" customHeight="1">
      <c r="A24" s="27" t="s">
        <v>209</v>
      </c>
      <c r="B24" s="28" t="s">
        <v>191</v>
      </c>
      <c r="C24" s="29" t="s">
        <v>17</v>
      </c>
      <c r="D24" s="30" t="s">
        <v>49</v>
      </c>
      <c r="E24" s="68" t="s">
        <v>192</v>
      </c>
      <c r="F24" s="31" t="s">
        <v>154</v>
      </c>
      <c r="G24" s="31" t="s">
        <v>48</v>
      </c>
      <c r="H24" s="18">
        <f>I24+L24</f>
        <v>56.886410958904115</v>
      </c>
      <c r="I24" s="18">
        <f>L24*12/365*0.1</f>
        <v>0.18641095890410964</v>
      </c>
      <c r="J24" s="18"/>
      <c r="K24" s="18"/>
      <c r="L24" s="18">
        <f>56.7</f>
        <v>56.7</v>
      </c>
      <c r="M24" s="18">
        <f>I24</f>
        <v>0.18641095890410964</v>
      </c>
      <c r="N24" s="18"/>
      <c r="O24" s="18"/>
      <c r="P24" s="18">
        <f>I24</f>
        <v>0.18641095890410964</v>
      </c>
      <c r="Q24" s="18"/>
      <c r="R24" s="18"/>
      <c r="T24" s="33"/>
    </row>
    <row r="25" spans="1:20" s="37" customFormat="1" ht="62.25">
      <c r="A25" s="27" t="s">
        <v>210</v>
      </c>
      <c r="B25" s="28" t="s">
        <v>194</v>
      </c>
      <c r="C25" s="29" t="s">
        <v>195</v>
      </c>
      <c r="D25" s="30" t="s">
        <v>35</v>
      </c>
      <c r="E25" s="68" t="s">
        <v>192</v>
      </c>
      <c r="F25" s="29" t="s">
        <v>196</v>
      </c>
      <c r="G25" s="31" t="s">
        <v>48</v>
      </c>
      <c r="H25" s="18">
        <f>I25+L25</f>
        <v>18.54</v>
      </c>
      <c r="I25" s="18">
        <v>18.54</v>
      </c>
      <c r="J25" s="18"/>
      <c r="K25" s="18"/>
      <c r="L25" s="18"/>
      <c r="M25" s="18"/>
      <c r="N25" s="18"/>
      <c r="O25" s="18"/>
      <c r="P25" s="18"/>
      <c r="Q25" s="18">
        <v>18.54</v>
      </c>
      <c r="R25" s="18"/>
      <c r="T25" s="33"/>
    </row>
    <row r="26" spans="1:20" s="37" customFormat="1" ht="62.25">
      <c r="A26" s="27" t="s">
        <v>211</v>
      </c>
      <c r="B26" s="28" t="s">
        <v>198</v>
      </c>
      <c r="C26" s="29" t="s">
        <v>199</v>
      </c>
      <c r="D26" s="30" t="s">
        <v>49</v>
      </c>
      <c r="E26" s="68" t="s">
        <v>192</v>
      </c>
      <c r="F26" s="29" t="s">
        <v>200</v>
      </c>
      <c r="G26" s="31" t="s">
        <v>48</v>
      </c>
      <c r="H26" s="18">
        <f>I26+L26</f>
        <v>0.94</v>
      </c>
      <c r="I26" s="18">
        <v>0.94</v>
      </c>
      <c r="J26" s="18"/>
      <c r="K26" s="18"/>
      <c r="L26" s="18"/>
      <c r="M26" s="18"/>
      <c r="N26" s="18"/>
      <c r="O26" s="18"/>
      <c r="P26" s="18"/>
      <c r="Q26" s="18">
        <v>0.94</v>
      </c>
      <c r="R26" s="18"/>
      <c r="T26" s="33"/>
    </row>
    <row r="27" spans="1:20" ht="30.75">
      <c r="A27" s="27" t="s">
        <v>212</v>
      </c>
      <c r="B27" s="28" t="s">
        <v>213</v>
      </c>
      <c r="C27" s="29" t="s">
        <v>16</v>
      </c>
      <c r="D27" s="29" t="s">
        <v>214</v>
      </c>
      <c r="E27" s="29" t="s">
        <v>111</v>
      </c>
      <c r="F27" s="29" t="s">
        <v>204</v>
      </c>
      <c r="G27" s="31" t="s">
        <v>48</v>
      </c>
      <c r="H27" s="18">
        <f>I27+L27</f>
        <v>1293.094</v>
      </c>
      <c r="I27" s="18">
        <f>L27*0.0025*24</f>
        <v>73.19400000000002</v>
      </c>
      <c r="J27" s="18"/>
      <c r="K27" s="18"/>
      <c r="L27" s="18">
        <v>1219.9</v>
      </c>
      <c r="M27" s="18">
        <f>I27</f>
        <v>73.19400000000002</v>
      </c>
      <c r="N27" s="18"/>
      <c r="O27" s="18"/>
      <c r="P27" s="18">
        <f>I27-M27</f>
        <v>0</v>
      </c>
      <c r="Q27" s="18"/>
      <c r="R27" s="18"/>
      <c r="T27" s="33"/>
    </row>
    <row r="28" spans="1:20" ht="15">
      <c r="A28" s="41"/>
      <c r="B28" s="42" t="s">
        <v>24</v>
      </c>
      <c r="C28" s="43"/>
      <c r="D28" s="44"/>
      <c r="E28" s="44"/>
      <c r="F28" s="44"/>
      <c r="G28" s="45"/>
      <c r="H28" s="22">
        <f aca="true" t="shared" si="4" ref="H28:R28">SUM(H24:H27)</f>
        <v>1369.460410958904</v>
      </c>
      <c r="I28" s="22">
        <f>SUM(I24:I27)</f>
        <v>92.86041095890413</v>
      </c>
      <c r="J28" s="22">
        <f t="shared" si="4"/>
        <v>0</v>
      </c>
      <c r="K28" s="22">
        <f t="shared" si="4"/>
        <v>0</v>
      </c>
      <c r="L28" s="22">
        <f t="shared" si="4"/>
        <v>1276.6000000000001</v>
      </c>
      <c r="M28" s="22">
        <f t="shared" si="4"/>
        <v>73.38041095890412</v>
      </c>
      <c r="N28" s="22">
        <f t="shared" si="4"/>
        <v>0</v>
      </c>
      <c r="O28" s="22">
        <f t="shared" si="4"/>
        <v>0</v>
      </c>
      <c r="P28" s="22">
        <f t="shared" si="4"/>
        <v>0.18641095890410964</v>
      </c>
      <c r="Q28" s="22">
        <f t="shared" si="4"/>
        <v>19.48</v>
      </c>
      <c r="R28" s="22">
        <f t="shared" si="4"/>
        <v>0</v>
      </c>
      <c r="T28" s="48"/>
    </row>
    <row r="29" spans="1:18" ht="38.25" customHeight="1">
      <c r="A29" s="77" t="s">
        <v>189</v>
      </c>
      <c r="B29" s="83" t="s">
        <v>50</v>
      </c>
      <c r="C29" s="83" t="s">
        <v>33</v>
      </c>
      <c r="D29" s="83" t="s">
        <v>39</v>
      </c>
      <c r="E29" s="78" t="s">
        <v>1</v>
      </c>
      <c r="F29" s="79"/>
      <c r="G29" s="80"/>
      <c r="H29" s="81" t="s">
        <v>34</v>
      </c>
      <c r="I29" s="78" t="s">
        <v>5</v>
      </c>
      <c r="J29" s="79"/>
      <c r="K29" s="79"/>
      <c r="L29" s="80"/>
      <c r="M29" s="75" t="s">
        <v>20</v>
      </c>
      <c r="N29" s="78" t="s">
        <v>10</v>
      </c>
      <c r="O29" s="79"/>
      <c r="P29" s="79"/>
      <c r="Q29" s="80"/>
      <c r="R29" s="75" t="s">
        <v>11</v>
      </c>
    </row>
    <row r="30" spans="1:18" ht="93" customHeight="1">
      <c r="A30" s="77"/>
      <c r="B30" s="82"/>
      <c r="C30" s="82"/>
      <c r="D30" s="82"/>
      <c r="E30" s="34" t="s">
        <v>2</v>
      </c>
      <c r="F30" s="34" t="s">
        <v>3</v>
      </c>
      <c r="G30" s="34" t="s">
        <v>4</v>
      </c>
      <c r="H30" s="82"/>
      <c r="I30" s="34" t="s">
        <v>8</v>
      </c>
      <c r="J30" s="34" t="s">
        <v>6</v>
      </c>
      <c r="K30" s="34" t="s">
        <v>7</v>
      </c>
      <c r="L30" s="34" t="s">
        <v>9</v>
      </c>
      <c r="M30" s="76"/>
      <c r="N30" s="34" t="s">
        <v>12</v>
      </c>
      <c r="O30" s="34" t="s">
        <v>13</v>
      </c>
      <c r="P30" s="34" t="s">
        <v>14</v>
      </c>
      <c r="Q30" s="34" t="s">
        <v>15</v>
      </c>
      <c r="R30" s="76"/>
    </row>
    <row r="31" spans="1:20" ht="15">
      <c r="A31" s="38">
        <v>2</v>
      </c>
      <c r="B31" s="47" t="s">
        <v>25</v>
      </c>
      <c r="C31" s="35"/>
      <c r="D31" s="35"/>
      <c r="E31" s="35"/>
      <c r="F31" s="39"/>
      <c r="G31" s="39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T31" s="48"/>
    </row>
    <row r="32" spans="1:20" s="37" customFormat="1" ht="15.75" customHeight="1">
      <c r="A32" s="27" t="s">
        <v>215</v>
      </c>
      <c r="B32" s="28" t="s">
        <v>26</v>
      </c>
      <c r="C32" s="29" t="s">
        <v>27</v>
      </c>
      <c r="D32" s="30" t="s">
        <v>36</v>
      </c>
      <c r="E32" s="83" t="s">
        <v>29</v>
      </c>
      <c r="F32" s="31">
        <v>0.012</v>
      </c>
      <c r="G32" s="31" t="s">
        <v>48</v>
      </c>
      <c r="H32" s="18">
        <f>F32*2</f>
        <v>0.024</v>
      </c>
      <c r="I32" s="18">
        <f>H32</f>
        <v>0.024</v>
      </c>
      <c r="J32" s="18"/>
      <c r="K32" s="18"/>
      <c r="L32" s="18"/>
      <c r="M32" s="18"/>
      <c r="N32" s="18">
        <f>H32</f>
        <v>0.024</v>
      </c>
      <c r="O32" s="18"/>
      <c r="P32" s="18"/>
      <c r="Q32" s="18"/>
      <c r="R32" s="18"/>
      <c r="T32" s="33"/>
    </row>
    <row r="33" spans="1:20" s="37" customFormat="1" ht="15">
      <c r="A33" s="27" t="s">
        <v>216</v>
      </c>
      <c r="B33" s="28" t="s">
        <v>28</v>
      </c>
      <c r="C33" s="29" t="s">
        <v>27</v>
      </c>
      <c r="D33" s="30" t="s">
        <v>37</v>
      </c>
      <c r="E33" s="87"/>
      <c r="F33" s="31">
        <v>0.025</v>
      </c>
      <c r="G33" s="31" t="s">
        <v>48</v>
      </c>
      <c r="H33" s="18">
        <f>F33*28</f>
        <v>0.7000000000000001</v>
      </c>
      <c r="I33" s="18">
        <f>H33</f>
        <v>0.7000000000000001</v>
      </c>
      <c r="J33" s="18"/>
      <c r="K33" s="18"/>
      <c r="L33" s="18"/>
      <c r="M33" s="18"/>
      <c r="N33" s="18">
        <f>H33</f>
        <v>0.7000000000000001</v>
      </c>
      <c r="O33" s="18"/>
      <c r="P33" s="18"/>
      <c r="Q33" s="18"/>
      <c r="R33" s="18"/>
      <c r="T33" s="33"/>
    </row>
    <row r="34" spans="1:20" ht="17.25" customHeight="1">
      <c r="A34" s="27" t="s">
        <v>217</v>
      </c>
      <c r="B34" s="28" t="s">
        <v>30</v>
      </c>
      <c r="C34" s="29" t="s">
        <v>27</v>
      </c>
      <c r="D34" s="30" t="s">
        <v>23</v>
      </c>
      <c r="E34" s="87"/>
      <c r="F34" s="31">
        <v>0.5</v>
      </c>
      <c r="G34" s="31" t="s">
        <v>48</v>
      </c>
      <c r="H34" s="18">
        <v>1</v>
      </c>
      <c r="I34" s="18">
        <f>H34</f>
        <v>1</v>
      </c>
      <c r="J34" s="18"/>
      <c r="K34" s="18"/>
      <c r="L34" s="18"/>
      <c r="M34" s="18"/>
      <c r="N34" s="18">
        <f>H34</f>
        <v>1</v>
      </c>
      <c r="O34" s="18"/>
      <c r="P34" s="18"/>
      <c r="Q34" s="18"/>
      <c r="R34" s="18"/>
      <c r="T34" s="33"/>
    </row>
    <row r="35" spans="1:20" ht="15.75" customHeight="1">
      <c r="A35" s="27" t="s">
        <v>218</v>
      </c>
      <c r="B35" s="28" t="s">
        <v>31</v>
      </c>
      <c r="C35" s="29" t="s">
        <v>27</v>
      </c>
      <c r="D35" s="30" t="s">
        <v>106</v>
      </c>
      <c r="E35" s="82"/>
      <c r="F35" s="31">
        <v>0.0005</v>
      </c>
      <c r="G35" s="31" t="s">
        <v>48</v>
      </c>
      <c r="H35" s="18">
        <f>F35*666.7</f>
        <v>0.33335000000000004</v>
      </c>
      <c r="I35" s="18">
        <f>H35</f>
        <v>0.33335000000000004</v>
      </c>
      <c r="J35" s="18"/>
      <c r="K35" s="18"/>
      <c r="L35" s="18"/>
      <c r="M35" s="18"/>
      <c r="N35" s="18">
        <f>H35</f>
        <v>0.33335000000000004</v>
      </c>
      <c r="O35" s="18"/>
      <c r="P35" s="18"/>
      <c r="Q35" s="18"/>
      <c r="R35" s="18"/>
      <c r="T35" s="33"/>
    </row>
    <row r="36" spans="1:20" ht="15">
      <c r="A36" s="41"/>
      <c r="B36" s="42" t="s">
        <v>24</v>
      </c>
      <c r="C36" s="43"/>
      <c r="D36" s="44"/>
      <c r="E36" s="44"/>
      <c r="F36" s="44"/>
      <c r="G36" s="45"/>
      <c r="H36" s="22">
        <f aca="true" t="shared" si="5" ref="H36:R36">SUM(H32:H35)</f>
        <v>2.0573500000000005</v>
      </c>
      <c r="I36" s="22">
        <f t="shared" si="5"/>
        <v>2.0573500000000005</v>
      </c>
      <c r="J36" s="22">
        <f t="shared" si="5"/>
        <v>0</v>
      </c>
      <c r="K36" s="22">
        <f t="shared" si="5"/>
        <v>0</v>
      </c>
      <c r="L36" s="22">
        <f t="shared" si="5"/>
        <v>0</v>
      </c>
      <c r="M36" s="22">
        <f t="shared" si="5"/>
        <v>0</v>
      </c>
      <c r="N36" s="22">
        <f t="shared" si="5"/>
        <v>2.0573500000000005</v>
      </c>
      <c r="O36" s="22">
        <f t="shared" si="5"/>
        <v>0</v>
      </c>
      <c r="P36" s="22">
        <f>SUM(P32:P35)</f>
        <v>0</v>
      </c>
      <c r="Q36" s="22">
        <f t="shared" si="5"/>
        <v>0</v>
      </c>
      <c r="R36" s="22">
        <f t="shared" si="5"/>
        <v>0</v>
      </c>
      <c r="T36" s="48"/>
    </row>
    <row r="37" spans="1:20" s="37" customFormat="1" ht="15">
      <c r="A37" s="38">
        <v>3</v>
      </c>
      <c r="B37" s="47" t="s">
        <v>128</v>
      </c>
      <c r="C37" s="35"/>
      <c r="D37" s="35"/>
      <c r="E37" s="35"/>
      <c r="F37" s="39"/>
      <c r="G37" s="39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T37" s="48"/>
    </row>
    <row r="38" spans="1:20" ht="76.5" customHeight="1">
      <c r="A38" s="27" t="s">
        <v>219</v>
      </c>
      <c r="B38" s="28" t="s">
        <v>52</v>
      </c>
      <c r="C38" s="29" t="s">
        <v>72</v>
      </c>
      <c r="D38" s="30" t="s">
        <v>230</v>
      </c>
      <c r="E38" s="29" t="s">
        <v>111</v>
      </c>
      <c r="F38" s="30" t="s">
        <v>114</v>
      </c>
      <c r="G38" s="31" t="s">
        <v>48</v>
      </c>
      <c r="H38" s="18"/>
      <c r="I38" s="18">
        <f>1387.2/152</f>
        <v>9.126315789473685</v>
      </c>
      <c r="J38" s="18"/>
      <c r="K38" s="18"/>
      <c r="L38" s="18"/>
      <c r="M38" s="18">
        <v>0</v>
      </c>
      <c r="N38" s="18"/>
      <c r="O38" s="18"/>
      <c r="P38" s="18">
        <f>I38</f>
        <v>9.126315789473685</v>
      </c>
      <c r="Q38" s="18"/>
      <c r="R38" s="18"/>
      <c r="T38" s="33"/>
    </row>
    <row r="39" spans="1:20" ht="15">
      <c r="A39" s="40"/>
      <c r="B39" s="44" t="s">
        <v>97</v>
      </c>
      <c r="C39" s="40"/>
      <c r="D39" s="44"/>
      <c r="E39" s="44"/>
      <c r="F39" s="44"/>
      <c r="G39" s="44"/>
      <c r="H39" s="22">
        <f>I39</f>
        <v>104.0440767483778</v>
      </c>
      <c r="I39" s="22">
        <f>I28+I36+I38</f>
        <v>104.0440767483778</v>
      </c>
      <c r="J39" s="22">
        <f aca="true" t="shared" si="6" ref="J39:R39">J28+J36+J38</f>
        <v>0</v>
      </c>
      <c r="K39" s="22">
        <f t="shared" si="6"/>
        <v>0</v>
      </c>
      <c r="L39" s="22">
        <f t="shared" si="6"/>
        <v>1276.6000000000001</v>
      </c>
      <c r="M39" s="22">
        <f t="shared" si="6"/>
        <v>73.38041095890412</v>
      </c>
      <c r="N39" s="22">
        <f t="shared" si="6"/>
        <v>2.0573500000000005</v>
      </c>
      <c r="O39" s="22">
        <f t="shared" si="6"/>
        <v>0</v>
      </c>
      <c r="P39" s="22">
        <f>P28+P36+P38</f>
        <v>9.312726748377795</v>
      </c>
      <c r="Q39" s="22">
        <f>Q28+Q36+Q38</f>
        <v>19.48</v>
      </c>
      <c r="R39" s="22">
        <f t="shared" si="6"/>
        <v>0</v>
      </c>
      <c r="S39" s="73">
        <f>SUM(N39:R39)</f>
        <v>30.850076748377795</v>
      </c>
      <c r="T39" s="33">
        <f>S39/I39*100</f>
        <v>29.650968812944743</v>
      </c>
    </row>
    <row r="40" spans="1:20" ht="15">
      <c r="A40" s="40"/>
      <c r="B40" s="44" t="s">
        <v>115</v>
      </c>
      <c r="C40" s="40"/>
      <c r="D40" s="44"/>
      <c r="E40" s="44"/>
      <c r="F40" s="44"/>
      <c r="G40" s="44"/>
      <c r="H40" s="22">
        <f>H39*152</f>
        <v>15814.699665753426</v>
      </c>
      <c r="I40" s="22">
        <f aca="true" t="shared" si="7" ref="I40:R40">I39*152</f>
        <v>15814.699665753426</v>
      </c>
      <c r="J40" s="22">
        <f t="shared" si="7"/>
        <v>0</v>
      </c>
      <c r="K40" s="22">
        <f t="shared" si="7"/>
        <v>0</v>
      </c>
      <c r="L40" s="22">
        <f t="shared" si="7"/>
        <v>194043.2</v>
      </c>
      <c r="M40" s="22">
        <f t="shared" si="7"/>
        <v>11153.822465753427</v>
      </c>
      <c r="N40" s="22">
        <f t="shared" si="7"/>
        <v>312.71720000000005</v>
      </c>
      <c r="O40" s="22">
        <f t="shared" si="7"/>
        <v>0</v>
      </c>
      <c r="P40" s="22">
        <f t="shared" si="7"/>
        <v>1415.534465753425</v>
      </c>
      <c r="Q40" s="22">
        <f t="shared" si="7"/>
        <v>2960.96</v>
      </c>
      <c r="R40" s="22">
        <f t="shared" si="7"/>
        <v>0</v>
      </c>
      <c r="T40" s="33"/>
    </row>
    <row r="41" spans="1:18" ht="20.25" customHeight="1">
      <c r="A41" s="40"/>
      <c r="B41" s="44" t="s">
        <v>188</v>
      </c>
      <c r="C41" s="40"/>
      <c r="D41" s="44"/>
      <c r="E41" s="44"/>
      <c r="F41" s="44"/>
      <c r="G41" s="44"/>
      <c r="H41" s="22">
        <f aca="true" t="shared" si="8" ref="H41:R41">H21+H40</f>
        <v>512693.54920136987</v>
      </c>
      <c r="I41" s="22">
        <f t="shared" si="8"/>
        <v>46340.469201369866</v>
      </c>
      <c r="J41" s="22">
        <f t="shared" si="8"/>
        <v>0</v>
      </c>
      <c r="K41" s="22">
        <f t="shared" si="8"/>
        <v>0</v>
      </c>
      <c r="L41" s="22">
        <f t="shared" si="8"/>
        <v>660396.28</v>
      </c>
      <c r="M41" s="22">
        <f t="shared" si="8"/>
        <v>36950.92326575343</v>
      </c>
      <c r="N41" s="22">
        <f t="shared" si="8"/>
        <v>752.9901000000002</v>
      </c>
      <c r="O41" s="22">
        <f t="shared" si="8"/>
        <v>0</v>
      </c>
      <c r="P41" s="22">
        <f t="shared" si="8"/>
        <v>1535.2103013698634</v>
      </c>
      <c r="Q41" s="22">
        <f t="shared" si="8"/>
        <v>7129.68</v>
      </c>
      <c r="R41" s="22">
        <f t="shared" si="8"/>
        <v>0</v>
      </c>
    </row>
    <row r="43" ht="15">
      <c r="A43" s="32" t="s">
        <v>116</v>
      </c>
    </row>
    <row r="45" spans="1:6" ht="63.75" customHeight="1">
      <c r="A45" s="29" t="s">
        <v>123</v>
      </c>
      <c r="B45" s="29" t="s">
        <v>124</v>
      </c>
      <c r="C45" s="29" t="s">
        <v>119</v>
      </c>
      <c r="D45" s="29" t="s">
        <v>120</v>
      </c>
      <c r="E45" s="29" t="s">
        <v>121</v>
      </c>
      <c r="F45" s="29" t="s">
        <v>122</v>
      </c>
    </row>
    <row r="46" spans="1:6" ht="15">
      <c r="A46" s="52" t="s">
        <v>197</v>
      </c>
      <c r="B46" s="28" t="s">
        <v>117</v>
      </c>
      <c r="C46" s="53">
        <v>1219.9</v>
      </c>
      <c r="D46" s="53">
        <v>167.3</v>
      </c>
      <c r="E46" s="53">
        <v>621.9</v>
      </c>
      <c r="F46" s="53">
        <f>C46+D46+E46</f>
        <v>2009.1</v>
      </c>
    </row>
    <row r="47" spans="1:6" ht="15">
      <c r="A47" s="52" t="s">
        <v>211</v>
      </c>
      <c r="B47" s="28" t="s">
        <v>118</v>
      </c>
      <c r="C47" s="53">
        <v>1219.9</v>
      </c>
      <c r="D47" s="53">
        <v>0</v>
      </c>
      <c r="E47" s="53">
        <v>0</v>
      </c>
      <c r="F47" s="53">
        <f>C47+D47+E47</f>
        <v>1219.9</v>
      </c>
    </row>
    <row r="48" spans="1:6" ht="30.75">
      <c r="A48" s="52" t="s">
        <v>219</v>
      </c>
      <c r="B48" s="28" t="s">
        <v>108</v>
      </c>
      <c r="C48" s="53">
        <v>1219.9</v>
      </c>
      <c r="D48" s="53">
        <v>167.3</v>
      </c>
      <c r="E48" s="53">
        <v>0</v>
      </c>
      <c r="F48" s="53">
        <f>C48+D48+E48</f>
        <v>1387.2</v>
      </c>
    </row>
    <row r="49" ht="26.25" customHeight="1"/>
    <row r="50" spans="1:8" ht="18">
      <c r="A50" s="56" t="s">
        <v>187</v>
      </c>
      <c r="H50" s="67"/>
    </row>
  </sheetData>
  <sheetProtection/>
  <mergeCells count="24">
    <mergeCell ref="E32:E35"/>
    <mergeCell ref="A22:R22"/>
    <mergeCell ref="A29:A30"/>
    <mergeCell ref="B29:B30"/>
    <mergeCell ref="C29:C30"/>
    <mergeCell ref="D29:D30"/>
    <mergeCell ref="E29:G29"/>
    <mergeCell ref="H29:H30"/>
    <mergeCell ref="I29:L29"/>
    <mergeCell ref="R5:R6"/>
    <mergeCell ref="A7:R7"/>
    <mergeCell ref="A5:A6"/>
    <mergeCell ref="H5:H6"/>
    <mergeCell ref="B5:B6"/>
    <mergeCell ref="R29:R30"/>
    <mergeCell ref="C5:C6"/>
    <mergeCell ref="D5:D6"/>
    <mergeCell ref="E5:G5"/>
    <mergeCell ref="E15:E18"/>
    <mergeCell ref="M29:M30"/>
    <mergeCell ref="N29:Q29"/>
    <mergeCell ref="I5:L5"/>
    <mergeCell ref="M5:M6"/>
    <mergeCell ref="N5:Q5"/>
  </mergeCells>
  <printOptions horizontalCentered="1"/>
  <pageMargins left="0.7" right="0.7" top="0.75" bottom="0.75" header="0.3" footer="0.3"/>
  <pageSetup fitToHeight="0" fitToWidth="1" horizontalDpi="600" verticalDpi="600" orientation="landscape" paperSize="8" scale="81" r:id="rId1"/>
  <rowBreaks count="1" manualBreakCount="1">
    <brk id="28" max="17" man="1"/>
  </rowBreaks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view="pageBreakPreview" zoomScale="70" zoomScaleNormal="70" zoomScaleSheetLayoutView="70" zoomScalePageLayoutView="0" workbookViewId="0" topLeftCell="A16">
      <selection activeCell="I35" sqref="I35"/>
    </sheetView>
  </sheetViews>
  <sheetFormatPr defaultColWidth="9.00390625" defaultRowHeight="12.75"/>
  <cols>
    <col min="1" max="1" width="6.875" style="32" customWidth="1"/>
    <col min="2" max="2" width="31.00390625" style="32" customWidth="1"/>
    <col min="3" max="3" width="16.125" style="32" customWidth="1"/>
    <col min="4" max="4" width="15.75390625" style="32" customWidth="1"/>
    <col min="5" max="5" width="13.25390625" style="32" customWidth="1"/>
    <col min="6" max="6" width="12.50390625" style="32" customWidth="1"/>
    <col min="7" max="7" width="10.875" style="32" customWidth="1"/>
    <col min="8" max="8" width="14.375" style="32" customWidth="1"/>
    <col min="9" max="9" width="13.375" style="32" customWidth="1"/>
    <col min="10" max="10" width="5.75390625" style="32" customWidth="1"/>
    <col min="11" max="11" width="5.875" style="32" customWidth="1"/>
    <col min="12" max="12" width="15.125" style="32" customWidth="1"/>
    <col min="13" max="13" width="13.50390625" style="32" customWidth="1"/>
    <col min="14" max="14" width="11.875" style="32" customWidth="1"/>
    <col min="15" max="15" width="6.50390625" style="32" customWidth="1"/>
    <col min="16" max="16" width="12.75390625" style="32" customWidth="1"/>
    <col min="17" max="17" width="12.875" style="32" customWidth="1"/>
    <col min="18" max="18" width="7.50390625" style="32" customWidth="1"/>
    <col min="19" max="19" width="15.25390625" style="32" customWidth="1"/>
    <col min="20" max="20" width="13.875" style="32" customWidth="1"/>
    <col min="21" max="16384" width="8.875" style="32" customWidth="1"/>
  </cols>
  <sheetData>
    <row r="1" spans="1:8" s="55" customFormat="1" ht="17.25">
      <c r="A1" s="55" t="s">
        <v>221</v>
      </c>
      <c r="H1" s="66"/>
    </row>
    <row r="2" s="56" customFormat="1" ht="18">
      <c r="A2" s="56" t="s">
        <v>83</v>
      </c>
    </row>
    <row r="3" s="56" customFormat="1" ht="18">
      <c r="A3" s="56" t="s">
        <v>81</v>
      </c>
    </row>
    <row r="5" spans="1:18" ht="38.25" customHeight="1">
      <c r="A5" s="77" t="s">
        <v>0</v>
      </c>
      <c r="B5" s="83" t="s">
        <v>50</v>
      </c>
      <c r="C5" s="83" t="s">
        <v>33</v>
      </c>
      <c r="D5" s="83" t="s">
        <v>39</v>
      </c>
      <c r="E5" s="78" t="s">
        <v>1</v>
      </c>
      <c r="F5" s="79"/>
      <c r="G5" s="80"/>
      <c r="H5" s="81" t="s">
        <v>34</v>
      </c>
      <c r="I5" s="78" t="s">
        <v>5</v>
      </c>
      <c r="J5" s="79"/>
      <c r="K5" s="79"/>
      <c r="L5" s="80"/>
      <c r="M5" s="75" t="s">
        <v>20</v>
      </c>
      <c r="N5" s="78" t="s">
        <v>10</v>
      </c>
      <c r="O5" s="79"/>
      <c r="P5" s="79"/>
      <c r="Q5" s="80"/>
      <c r="R5" s="75" t="s">
        <v>11</v>
      </c>
    </row>
    <row r="6" spans="1:18" ht="93" customHeight="1">
      <c r="A6" s="77"/>
      <c r="B6" s="82"/>
      <c r="C6" s="82"/>
      <c r="D6" s="82"/>
      <c r="E6" s="34" t="s">
        <v>2</v>
      </c>
      <c r="F6" s="34" t="s">
        <v>3</v>
      </c>
      <c r="G6" s="34" t="s">
        <v>4</v>
      </c>
      <c r="H6" s="82"/>
      <c r="I6" s="34" t="s">
        <v>8</v>
      </c>
      <c r="J6" s="34" t="s">
        <v>6</v>
      </c>
      <c r="K6" s="34" t="s">
        <v>7</v>
      </c>
      <c r="L6" s="34" t="s">
        <v>9</v>
      </c>
      <c r="M6" s="76"/>
      <c r="N6" s="34" t="s">
        <v>12</v>
      </c>
      <c r="O6" s="34" t="s">
        <v>13</v>
      </c>
      <c r="P6" s="34" t="s">
        <v>14</v>
      </c>
      <c r="Q6" s="34" t="s">
        <v>15</v>
      </c>
      <c r="R6" s="76"/>
    </row>
    <row r="7" spans="1:18" s="37" customFormat="1" ht="15">
      <c r="A7" s="84" t="s">
        <v>68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s="37" customFormat="1" ht="15">
      <c r="A8" s="38">
        <v>1</v>
      </c>
      <c r="B8" s="35" t="s">
        <v>69</v>
      </c>
      <c r="C8" s="35"/>
      <c r="D8" s="35"/>
      <c r="E8" s="35"/>
      <c r="F8" s="39"/>
      <c r="G8" s="39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62.25" customHeight="1">
      <c r="A9" s="27" t="s">
        <v>54</v>
      </c>
      <c r="B9" s="28" t="s">
        <v>141</v>
      </c>
      <c r="C9" s="29" t="s">
        <v>17</v>
      </c>
      <c r="D9" s="30" t="s">
        <v>19</v>
      </c>
      <c r="E9" s="29" t="s">
        <v>152</v>
      </c>
      <c r="F9" s="31" t="s">
        <v>154</v>
      </c>
      <c r="G9" s="31" t="s">
        <v>48</v>
      </c>
      <c r="H9" s="18">
        <f>I9+L9</f>
        <v>71.49830136986303</v>
      </c>
      <c r="I9" s="18">
        <f>L9*12/365*0.1*3</f>
        <v>0.6983013698630138</v>
      </c>
      <c r="J9" s="18"/>
      <c r="K9" s="18"/>
      <c r="L9" s="18">
        <f>23.6*3</f>
        <v>70.80000000000001</v>
      </c>
      <c r="M9" s="18">
        <v>0</v>
      </c>
      <c r="N9" s="18"/>
      <c r="O9" s="18"/>
      <c r="P9" s="18">
        <f>I9</f>
        <v>0.6983013698630138</v>
      </c>
      <c r="Q9" s="18">
        <v>0</v>
      </c>
      <c r="R9" s="18"/>
    </row>
    <row r="10" spans="1:18" ht="30.75">
      <c r="A10" s="27" t="s">
        <v>55</v>
      </c>
      <c r="B10" s="28" t="s">
        <v>142</v>
      </c>
      <c r="C10" s="29" t="s">
        <v>47</v>
      </c>
      <c r="D10" s="30" t="s">
        <v>35</v>
      </c>
      <c r="E10" s="29" t="s">
        <v>152</v>
      </c>
      <c r="F10" s="29" t="s">
        <v>153</v>
      </c>
      <c r="G10" s="31" t="s">
        <v>48</v>
      </c>
      <c r="H10" s="18">
        <f>I10+L10</f>
        <v>13.77</v>
      </c>
      <c r="I10" s="18">
        <v>13.77</v>
      </c>
      <c r="J10" s="18"/>
      <c r="K10" s="18"/>
      <c r="L10" s="18">
        <v>0</v>
      </c>
      <c r="M10" s="18">
        <v>0</v>
      </c>
      <c r="N10" s="18"/>
      <c r="O10" s="18"/>
      <c r="P10" s="18"/>
      <c r="Q10" s="18">
        <v>13.77</v>
      </c>
      <c r="R10" s="18"/>
    </row>
    <row r="11" spans="1:18" ht="30.75">
      <c r="A11" s="27" t="s">
        <v>56</v>
      </c>
      <c r="B11" s="28" t="s">
        <v>52</v>
      </c>
      <c r="C11" s="29" t="s">
        <v>16</v>
      </c>
      <c r="D11" s="29" t="s">
        <v>161</v>
      </c>
      <c r="E11" s="29" t="s">
        <v>113</v>
      </c>
      <c r="F11" s="29" t="s">
        <v>112</v>
      </c>
      <c r="G11" s="31" t="s">
        <v>48</v>
      </c>
      <c r="H11" s="18">
        <f>I11+L11</f>
        <v>905.06</v>
      </c>
      <c r="I11" s="18">
        <f>L11*0.0075*24</f>
        <v>138.06</v>
      </c>
      <c r="J11" s="18"/>
      <c r="K11" s="18"/>
      <c r="L11" s="18">
        <v>767</v>
      </c>
      <c r="M11" s="18">
        <f>I11</f>
        <v>138.06</v>
      </c>
      <c r="N11" s="18"/>
      <c r="O11" s="18"/>
      <c r="P11" s="18"/>
      <c r="Q11" s="18"/>
      <c r="R11" s="18"/>
    </row>
    <row r="12" spans="1:18" ht="20.25" customHeight="1">
      <c r="A12" s="41"/>
      <c r="B12" s="42" t="s">
        <v>24</v>
      </c>
      <c r="C12" s="43"/>
      <c r="D12" s="44"/>
      <c r="E12" s="44"/>
      <c r="F12" s="44"/>
      <c r="G12" s="45"/>
      <c r="H12" s="22">
        <f aca="true" t="shared" si="0" ref="H12:R12">SUM(H9:H11)</f>
        <v>990.328301369863</v>
      </c>
      <c r="I12" s="22">
        <f t="shared" si="0"/>
        <v>152.52830136986302</v>
      </c>
      <c r="J12" s="22">
        <f t="shared" si="0"/>
        <v>0</v>
      </c>
      <c r="K12" s="22">
        <f t="shared" si="0"/>
        <v>0</v>
      </c>
      <c r="L12" s="22">
        <f t="shared" si="0"/>
        <v>837.8</v>
      </c>
      <c r="M12" s="22">
        <f t="shared" si="0"/>
        <v>138.06</v>
      </c>
      <c r="N12" s="22">
        <f t="shared" si="0"/>
        <v>0</v>
      </c>
      <c r="O12" s="22">
        <f t="shared" si="0"/>
        <v>0</v>
      </c>
      <c r="P12" s="22">
        <f>SUM(P9:P11)</f>
        <v>0.6983013698630138</v>
      </c>
      <c r="Q12" s="22">
        <f t="shared" si="0"/>
        <v>13.77</v>
      </c>
      <c r="R12" s="22">
        <f t="shared" si="0"/>
        <v>0</v>
      </c>
    </row>
    <row r="13" spans="1:18" ht="30" customHeight="1">
      <c r="A13" s="38">
        <v>2</v>
      </c>
      <c r="B13" s="47" t="s">
        <v>25</v>
      </c>
      <c r="C13" s="35"/>
      <c r="D13" s="35"/>
      <c r="E13" s="35"/>
      <c r="F13" s="39"/>
      <c r="G13" s="3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20" s="37" customFormat="1" ht="15.75" customHeight="1">
      <c r="A14" s="27" t="s">
        <v>63</v>
      </c>
      <c r="B14" s="28" t="s">
        <v>42</v>
      </c>
      <c r="C14" s="29" t="s">
        <v>27</v>
      </c>
      <c r="D14" s="29" t="s">
        <v>36</v>
      </c>
      <c r="E14" s="83" t="s">
        <v>29</v>
      </c>
      <c r="F14" s="29">
        <v>0.012</v>
      </c>
      <c r="G14" s="31" t="s">
        <v>48</v>
      </c>
      <c r="H14" s="18">
        <f>F14*2</f>
        <v>0.024</v>
      </c>
      <c r="I14" s="18">
        <f>H14</f>
        <v>0.024</v>
      </c>
      <c r="J14" s="18"/>
      <c r="K14" s="18"/>
      <c r="L14" s="18"/>
      <c r="M14" s="18"/>
      <c r="N14" s="18">
        <f>H14</f>
        <v>0.024</v>
      </c>
      <c r="O14" s="18"/>
      <c r="P14" s="18"/>
      <c r="Q14" s="18"/>
      <c r="R14" s="18"/>
      <c r="T14" s="46"/>
    </row>
    <row r="15" spans="1:18" s="37" customFormat="1" ht="15">
      <c r="A15" s="27" t="s">
        <v>64</v>
      </c>
      <c r="B15" s="28" t="s">
        <v>43</v>
      </c>
      <c r="C15" s="29" t="s">
        <v>27</v>
      </c>
      <c r="D15" s="29" t="s">
        <v>231</v>
      </c>
      <c r="E15" s="87"/>
      <c r="F15" s="29">
        <v>0.025</v>
      </c>
      <c r="G15" s="31" t="s">
        <v>48</v>
      </c>
      <c r="H15" s="18">
        <f>F15*43</f>
        <v>1.075</v>
      </c>
      <c r="I15" s="18">
        <f>H15</f>
        <v>1.075</v>
      </c>
      <c r="J15" s="18"/>
      <c r="K15" s="18"/>
      <c r="L15" s="18"/>
      <c r="M15" s="18"/>
      <c r="N15" s="18">
        <f>H15</f>
        <v>1.075</v>
      </c>
      <c r="O15" s="18"/>
      <c r="P15" s="18"/>
      <c r="Q15" s="18"/>
      <c r="R15" s="18"/>
    </row>
    <row r="16" spans="1:18" ht="30.75" customHeight="1">
      <c r="A16" s="27" t="s">
        <v>65</v>
      </c>
      <c r="B16" s="28" t="s">
        <v>44</v>
      </c>
      <c r="C16" s="29" t="s">
        <v>27</v>
      </c>
      <c r="D16" s="30" t="s">
        <v>169</v>
      </c>
      <c r="E16" s="87"/>
      <c r="F16" s="29">
        <v>0.5</v>
      </c>
      <c r="G16" s="31" t="s">
        <v>48</v>
      </c>
      <c r="H16" s="18">
        <v>2</v>
      </c>
      <c r="I16" s="18">
        <f>H16</f>
        <v>2</v>
      </c>
      <c r="J16" s="18"/>
      <c r="K16" s="18"/>
      <c r="L16" s="18"/>
      <c r="M16" s="18"/>
      <c r="N16" s="18">
        <f>H16</f>
        <v>2</v>
      </c>
      <c r="O16" s="18"/>
      <c r="P16" s="18"/>
      <c r="Q16" s="18"/>
      <c r="R16" s="18"/>
    </row>
    <row r="17" spans="1:18" ht="15.75" customHeight="1">
      <c r="A17" s="27" t="s">
        <v>66</v>
      </c>
      <c r="B17" s="28" t="s">
        <v>31</v>
      </c>
      <c r="C17" s="29" t="s">
        <v>27</v>
      </c>
      <c r="D17" s="29" t="s">
        <v>105</v>
      </c>
      <c r="E17" s="82"/>
      <c r="F17" s="29">
        <v>0.0005</v>
      </c>
      <c r="G17" s="31" t="s">
        <v>48</v>
      </c>
      <c r="H17" s="18">
        <f>F17*915.5*4</f>
        <v>1.831</v>
      </c>
      <c r="I17" s="18">
        <f>H17</f>
        <v>1.831</v>
      </c>
      <c r="J17" s="18"/>
      <c r="K17" s="18"/>
      <c r="L17" s="18"/>
      <c r="M17" s="18"/>
      <c r="N17" s="18">
        <f>H17</f>
        <v>1.831</v>
      </c>
      <c r="O17" s="18"/>
      <c r="P17" s="18"/>
      <c r="Q17" s="18"/>
      <c r="R17" s="18"/>
    </row>
    <row r="18" spans="1:18" ht="15.75" customHeight="1">
      <c r="A18" s="41"/>
      <c r="B18" s="42" t="s">
        <v>24</v>
      </c>
      <c r="C18" s="44"/>
      <c r="D18" s="44"/>
      <c r="E18" s="44"/>
      <c r="F18" s="44"/>
      <c r="G18" s="44"/>
      <c r="H18" s="22">
        <f>SUM(H14:H17)</f>
        <v>4.93</v>
      </c>
      <c r="I18" s="22">
        <f aca="true" t="shared" si="1" ref="I18:R18">SUM(I14:I17)</f>
        <v>4.93</v>
      </c>
      <c r="J18" s="22">
        <f t="shared" si="1"/>
        <v>0</v>
      </c>
      <c r="K18" s="22">
        <f t="shared" si="1"/>
        <v>0</v>
      </c>
      <c r="L18" s="22">
        <f t="shared" si="1"/>
        <v>0</v>
      </c>
      <c r="M18" s="22">
        <f t="shared" si="1"/>
        <v>0</v>
      </c>
      <c r="N18" s="22">
        <f t="shared" si="1"/>
        <v>4.93</v>
      </c>
      <c r="O18" s="22">
        <f t="shared" si="1"/>
        <v>0</v>
      </c>
      <c r="P18" s="22">
        <f t="shared" si="1"/>
        <v>0</v>
      </c>
      <c r="Q18" s="22">
        <f t="shared" si="1"/>
        <v>0</v>
      </c>
      <c r="R18" s="22">
        <f t="shared" si="1"/>
        <v>0</v>
      </c>
    </row>
    <row r="19" spans="1:20" ht="15.75" customHeight="1">
      <c r="A19" s="40"/>
      <c r="B19" s="44" t="s">
        <v>67</v>
      </c>
      <c r="C19" s="40"/>
      <c r="D19" s="44"/>
      <c r="E19" s="44"/>
      <c r="F19" s="44"/>
      <c r="G19" s="44"/>
      <c r="H19" s="22">
        <f>H18+H12</f>
        <v>995.2583013698629</v>
      </c>
      <c r="I19" s="22">
        <f>I18+I12</f>
        <v>157.45830136986302</v>
      </c>
      <c r="J19" s="22">
        <f aca="true" t="shared" si="2" ref="J19:R19">J18+J12</f>
        <v>0</v>
      </c>
      <c r="K19" s="22">
        <f t="shared" si="2"/>
        <v>0</v>
      </c>
      <c r="L19" s="22">
        <f t="shared" si="2"/>
        <v>837.8</v>
      </c>
      <c r="M19" s="22">
        <f>M18+M12</f>
        <v>138.06</v>
      </c>
      <c r="N19" s="22">
        <f>N18+N12</f>
        <v>4.93</v>
      </c>
      <c r="O19" s="22">
        <f t="shared" si="2"/>
        <v>0</v>
      </c>
      <c r="P19" s="22">
        <f t="shared" si="2"/>
        <v>0.6983013698630138</v>
      </c>
      <c r="Q19" s="22">
        <f>Q18+Q12</f>
        <v>13.77</v>
      </c>
      <c r="R19" s="22">
        <f t="shared" si="2"/>
        <v>0</v>
      </c>
      <c r="S19" s="73">
        <f>SUM(N19:R19)</f>
        <v>19.398301369863013</v>
      </c>
      <c r="T19" s="33">
        <f>S19/I19*100</f>
        <v>12.319643487260292</v>
      </c>
    </row>
    <row r="20" spans="1:20" ht="15.75" customHeight="1">
      <c r="A20" s="40"/>
      <c r="B20" s="44" t="s">
        <v>109</v>
      </c>
      <c r="C20" s="40"/>
      <c r="D20" s="44"/>
      <c r="E20" s="44"/>
      <c r="F20" s="44"/>
      <c r="G20" s="44"/>
      <c r="H20" s="22">
        <f>H19*214</f>
        <v>212985.27649315065</v>
      </c>
      <c r="I20" s="22">
        <f aca="true" t="shared" si="3" ref="I20:R20">I19*214</f>
        <v>33696.076493150686</v>
      </c>
      <c r="J20" s="22">
        <f t="shared" si="3"/>
        <v>0</v>
      </c>
      <c r="K20" s="22">
        <f t="shared" si="3"/>
        <v>0</v>
      </c>
      <c r="L20" s="22">
        <f t="shared" si="3"/>
        <v>179289.19999999998</v>
      </c>
      <c r="M20" s="22">
        <f t="shared" si="3"/>
        <v>29544.84</v>
      </c>
      <c r="N20" s="22">
        <f>N19*214</f>
        <v>1055.02</v>
      </c>
      <c r="O20" s="22">
        <f t="shared" si="3"/>
        <v>0</v>
      </c>
      <c r="P20" s="22">
        <f t="shared" si="3"/>
        <v>149.43649315068495</v>
      </c>
      <c r="Q20" s="22">
        <f t="shared" si="3"/>
        <v>2946.7799999999997</v>
      </c>
      <c r="R20" s="22">
        <f t="shared" si="3"/>
        <v>0</v>
      </c>
      <c r="T20" s="33"/>
    </row>
    <row r="21" spans="1:20" s="37" customFormat="1" ht="15" customHeight="1">
      <c r="A21" s="84" t="s">
        <v>70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  <c r="T21" s="48"/>
    </row>
    <row r="22" spans="1:20" ht="15.75" customHeight="1">
      <c r="A22" s="38">
        <v>1</v>
      </c>
      <c r="B22" s="35" t="s">
        <v>69</v>
      </c>
      <c r="C22" s="35"/>
      <c r="D22" s="35"/>
      <c r="E22" s="35"/>
      <c r="F22" s="39"/>
      <c r="G22" s="3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T22" s="48"/>
    </row>
    <row r="23" spans="1:18" ht="62.25" customHeight="1">
      <c r="A23" s="27" t="s">
        <v>54</v>
      </c>
      <c r="B23" s="28" t="s">
        <v>141</v>
      </c>
      <c r="C23" s="29" t="s">
        <v>17</v>
      </c>
      <c r="D23" s="30" t="s">
        <v>35</v>
      </c>
      <c r="E23" s="29" t="s">
        <v>152</v>
      </c>
      <c r="F23" s="31" t="s">
        <v>154</v>
      </c>
      <c r="G23" s="31" t="s">
        <v>48</v>
      </c>
      <c r="H23" s="18">
        <f>I23+L23</f>
        <v>23.755178082191783</v>
      </c>
      <c r="I23" s="18">
        <f>L23*12/365*0.1*2</f>
        <v>0.15517808219178086</v>
      </c>
      <c r="J23" s="18"/>
      <c r="K23" s="18"/>
      <c r="L23" s="18">
        <v>23.6</v>
      </c>
      <c r="M23" s="18">
        <v>0</v>
      </c>
      <c r="N23" s="18"/>
      <c r="O23" s="18"/>
      <c r="P23" s="18">
        <f>I23</f>
        <v>0.15517808219178086</v>
      </c>
      <c r="Q23" s="18">
        <v>0</v>
      </c>
      <c r="R23" s="18"/>
    </row>
    <row r="24" spans="1:18" ht="30.75">
      <c r="A24" s="27" t="s">
        <v>55</v>
      </c>
      <c r="B24" s="28" t="s">
        <v>142</v>
      </c>
      <c r="C24" s="29" t="s">
        <v>47</v>
      </c>
      <c r="D24" s="30" t="s">
        <v>19</v>
      </c>
      <c r="E24" s="29" t="s">
        <v>152</v>
      </c>
      <c r="F24" s="29" t="s">
        <v>153</v>
      </c>
      <c r="G24" s="31" t="s">
        <v>48</v>
      </c>
      <c r="H24" s="18">
        <f>I24+L24</f>
        <v>13.77</v>
      </c>
      <c r="I24" s="18">
        <v>13.77</v>
      </c>
      <c r="J24" s="18"/>
      <c r="K24" s="18"/>
      <c r="L24" s="18">
        <v>0</v>
      </c>
      <c r="M24" s="18">
        <v>0</v>
      </c>
      <c r="N24" s="18"/>
      <c r="O24" s="18"/>
      <c r="P24" s="18"/>
      <c r="Q24" s="18">
        <v>13.77</v>
      </c>
      <c r="R24" s="18"/>
    </row>
    <row r="25" spans="1:20" ht="30.75">
      <c r="A25" s="27" t="s">
        <v>56</v>
      </c>
      <c r="B25" s="28" t="s">
        <v>45</v>
      </c>
      <c r="C25" s="29" t="s">
        <v>16</v>
      </c>
      <c r="D25" s="29" t="s">
        <v>159</v>
      </c>
      <c r="E25" s="29" t="s">
        <v>113</v>
      </c>
      <c r="F25" s="29" t="s">
        <v>112</v>
      </c>
      <c r="G25" s="31" t="s">
        <v>48</v>
      </c>
      <c r="H25" s="18">
        <f>I25+L25</f>
        <v>700.3889999999999</v>
      </c>
      <c r="I25" s="18">
        <f>L25*0.0075*24</f>
        <v>106.83899999999997</v>
      </c>
      <c r="J25" s="18"/>
      <c r="K25" s="18"/>
      <c r="L25" s="18">
        <v>593.55</v>
      </c>
      <c r="M25" s="18">
        <f>I25</f>
        <v>106.83899999999997</v>
      </c>
      <c r="N25" s="18"/>
      <c r="O25" s="18"/>
      <c r="P25" s="18">
        <f>I25-M25</f>
        <v>0</v>
      </c>
      <c r="Q25" s="18"/>
      <c r="R25" s="18"/>
      <c r="T25" s="33"/>
    </row>
    <row r="26" spans="1:20" ht="15">
      <c r="A26" s="41"/>
      <c r="B26" s="42" t="s">
        <v>24</v>
      </c>
      <c r="C26" s="43"/>
      <c r="D26" s="44"/>
      <c r="E26" s="44"/>
      <c r="F26" s="44"/>
      <c r="G26" s="45"/>
      <c r="H26" s="22">
        <f aca="true" t="shared" si="4" ref="H26:R26">SUM(H23:H25)</f>
        <v>737.9141780821917</v>
      </c>
      <c r="I26" s="22">
        <f t="shared" si="4"/>
        <v>120.76417808219175</v>
      </c>
      <c r="J26" s="22">
        <f t="shared" si="4"/>
        <v>0</v>
      </c>
      <c r="K26" s="22">
        <f t="shared" si="4"/>
        <v>0</v>
      </c>
      <c r="L26" s="22">
        <f t="shared" si="4"/>
        <v>617.15</v>
      </c>
      <c r="M26" s="22">
        <f t="shared" si="4"/>
        <v>106.83899999999997</v>
      </c>
      <c r="N26" s="22">
        <f t="shared" si="4"/>
        <v>0</v>
      </c>
      <c r="O26" s="22">
        <f t="shared" si="4"/>
        <v>0</v>
      </c>
      <c r="P26" s="22">
        <f t="shared" si="4"/>
        <v>0.15517808219178086</v>
      </c>
      <c r="Q26" s="22">
        <f t="shared" si="4"/>
        <v>13.77</v>
      </c>
      <c r="R26" s="22">
        <f t="shared" si="4"/>
        <v>0</v>
      </c>
      <c r="T26" s="48"/>
    </row>
    <row r="27" spans="1:20" ht="15">
      <c r="A27" s="38">
        <v>2</v>
      </c>
      <c r="B27" s="47" t="s">
        <v>25</v>
      </c>
      <c r="C27" s="35"/>
      <c r="D27" s="35"/>
      <c r="E27" s="35"/>
      <c r="F27" s="39"/>
      <c r="G27" s="39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T27" s="48"/>
    </row>
    <row r="28" spans="1:20" s="37" customFormat="1" ht="15.75" customHeight="1">
      <c r="A28" s="27" t="s">
        <v>63</v>
      </c>
      <c r="B28" s="28" t="s">
        <v>26</v>
      </c>
      <c r="C28" s="29" t="s">
        <v>27</v>
      </c>
      <c r="D28" s="29" t="s">
        <v>36</v>
      </c>
      <c r="E28" s="83" t="s">
        <v>29</v>
      </c>
      <c r="F28" s="29">
        <v>0.012</v>
      </c>
      <c r="G28" s="31" t="s">
        <v>48</v>
      </c>
      <c r="H28" s="18">
        <f>F28*2</f>
        <v>0.024</v>
      </c>
      <c r="I28" s="18">
        <f>H28</f>
        <v>0.024</v>
      </c>
      <c r="J28" s="18"/>
      <c r="K28" s="18"/>
      <c r="L28" s="18"/>
      <c r="M28" s="18"/>
      <c r="N28" s="18">
        <f>H28</f>
        <v>0.024</v>
      </c>
      <c r="O28" s="18"/>
      <c r="P28" s="18"/>
      <c r="Q28" s="18"/>
      <c r="R28" s="18"/>
      <c r="T28" s="33"/>
    </row>
    <row r="29" spans="1:20" s="37" customFormat="1" ht="15">
      <c r="A29" s="27" t="s">
        <v>64</v>
      </c>
      <c r="B29" s="28" t="s">
        <v>28</v>
      </c>
      <c r="C29" s="29" t="s">
        <v>27</v>
      </c>
      <c r="D29" s="29" t="s">
        <v>82</v>
      </c>
      <c r="E29" s="87"/>
      <c r="F29" s="29">
        <v>0.025</v>
      </c>
      <c r="G29" s="31" t="s">
        <v>48</v>
      </c>
      <c r="H29" s="18">
        <f>F29*33</f>
        <v>0.8250000000000001</v>
      </c>
      <c r="I29" s="18">
        <f>H29</f>
        <v>0.8250000000000001</v>
      </c>
      <c r="J29" s="18"/>
      <c r="K29" s="18"/>
      <c r="L29" s="18"/>
      <c r="M29" s="18"/>
      <c r="N29" s="18">
        <f>H29</f>
        <v>0.8250000000000001</v>
      </c>
      <c r="O29" s="18"/>
      <c r="P29" s="18"/>
      <c r="Q29" s="18"/>
      <c r="R29" s="18"/>
      <c r="T29" s="33"/>
    </row>
    <row r="30" spans="1:20" ht="30.75" customHeight="1">
      <c r="A30" s="27" t="s">
        <v>65</v>
      </c>
      <c r="B30" s="28" t="s">
        <v>30</v>
      </c>
      <c r="C30" s="29" t="s">
        <v>27</v>
      </c>
      <c r="D30" s="29" t="s">
        <v>23</v>
      </c>
      <c r="E30" s="87"/>
      <c r="F30" s="29">
        <v>0.5</v>
      </c>
      <c r="G30" s="31" t="s">
        <v>48</v>
      </c>
      <c r="H30" s="18">
        <v>2</v>
      </c>
      <c r="I30" s="18">
        <f>H30</f>
        <v>2</v>
      </c>
      <c r="J30" s="18"/>
      <c r="K30" s="18"/>
      <c r="L30" s="18"/>
      <c r="M30" s="18"/>
      <c r="N30" s="18">
        <f>H30</f>
        <v>2</v>
      </c>
      <c r="O30" s="18"/>
      <c r="P30" s="18"/>
      <c r="Q30" s="18"/>
      <c r="R30" s="18"/>
      <c r="T30" s="33"/>
    </row>
    <row r="31" spans="1:20" ht="15.75" customHeight="1">
      <c r="A31" s="27" t="s">
        <v>66</v>
      </c>
      <c r="B31" s="28" t="s">
        <v>31</v>
      </c>
      <c r="C31" s="29" t="s">
        <v>27</v>
      </c>
      <c r="D31" s="29" t="s">
        <v>105</v>
      </c>
      <c r="E31" s="82"/>
      <c r="F31" s="29">
        <v>0.0005</v>
      </c>
      <c r="G31" s="31" t="s">
        <v>48</v>
      </c>
      <c r="H31" s="18">
        <f>F31*915.5*4</f>
        <v>1.831</v>
      </c>
      <c r="I31" s="18">
        <f>H31</f>
        <v>1.831</v>
      </c>
      <c r="J31" s="18"/>
      <c r="K31" s="18"/>
      <c r="L31" s="18"/>
      <c r="M31" s="18"/>
      <c r="N31" s="18">
        <f>H31</f>
        <v>1.831</v>
      </c>
      <c r="O31" s="18"/>
      <c r="P31" s="18"/>
      <c r="Q31" s="18"/>
      <c r="R31" s="18"/>
      <c r="T31" s="33"/>
    </row>
    <row r="32" spans="1:20" ht="15">
      <c r="A32" s="41"/>
      <c r="B32" s="42" t="s">
        <v>24</v>
      </c>
      <c r="C32" s="43"/>
      <c r="D32" s="44"/>
      <c r="E32" s="44"/>
      <c r="F32" s="44"/>
      <c r="G32" s="45"/>
      <c r="H32" s="22">
        <f>SUM(H28:H31)</f>
        <v>4.68</v>
      </c>
      <c r="I32" s="22">
        <f aca="true" t="shared" si="5" ref="I32:R32">SUM(I28:I31)</f>
        <v>4.68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4.68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T32" s="48"/>
    </row>
    <row r="33" spans="1:20" s="37" customFormat="1" ht="15">
      <c r="A33" s="38">
        <v>3</v>
      </c>
      <c r="B33" s="47" t="s">
        <v>128</v>
      </c>
      <c r="C33" s="35"/>
      <c r="D33" s="35"/>
      <c r="E33" s="35"/>
      <c r="F33" s="39"/>
      <c r="G33" s="39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T33" s="48"/>
    </row>
    <row r="34" spans="1:20" ht="46.5">
      <c r="A34" s="27" t="s">
        <v>130</v>
      </c>
      <c r="B34" s="28" t="s">
        <v>52</v>
      </c>
      <c r="C34" s="29" t="s">
        <v>72</v>
      </c>
      <c r="D34" s="30" t="s">
        <v>230</v>
      </c>
      <c r="E34" s="29" t="s">
        <v>111</v>
      </c>
      <c r="F34" s="30" t="s">
        <v>114</v>
      </c>
      <c r="G34" s="31" t="s">
        <v>48</v>
      </c>
      <c r="H34" s="18"/>
      <c r="I34" s="18">
        <v>15.5</v>
      </c>
      <c r="J34" s="18"/>
      <c r="K34" s="18"/>
      <c r="L34" s="18"/>
      <c r="M34" s="18">
        <v>0</v>
      </c>
      <c r="N34" s="18"/>
      <c r="O34" s="18"/>
      <c r="P34" s="18">
        <f>I34</f>
        <v>15.5</v>
      </c>
      <c r="Q34" s="18"/>
      <c r="R34" s="18"/>
      <c r="T34" s="33"/>
    </row>
    <row r="35" spans="1:20" ht="15">
      <c r="A35" s="40"/>
      <c r="B35" s="44" t="s">
        <v>97</v>
      </c>
      <c r="C35" s="40"/>
      <c r="D35" s="44"/>
      <c r="E35" s="44"/>
      <c r="F35" s="44"/>
      <c r="G35" s="44"/>
      <c r="H35" s="22">
        <f>I35</f>
        <v>140.94417808219174</v>
      </c>
      <c r="I35" s="22">
        <f>I26+I32+I34</f>
        <v>140.94417808219174</v>
      </c>
      <c r="J35" s="22">
        <f aca="true" t="shared" si="6" ref="J35:R35">J26+J32+J34</f>
        <v>0</v>
      </c>
      <c r="K35" s="22">
        <f t="shared" si="6"/>
        <v>0</v>
      </c>
      <c r="L35" s="22">
        <f t="shared" si="6"/>
        <v>617.15</v>
      </c>
      <c r="M35" s="22">
        <f t="shared" si="6"/>
        <v>106.83899999999997</v>
      </c>
      <c r="N35" s="22">
        <f t="shared" si="6"/>
        <v>4.68</v>
      </c>
      <c r="O35" s="22">
        <f t="shared" si="6"/>
        <v>0</v>
      </c>
      <c r="P35" s="22">
        <f t="shared" si="6"/>
        <v>15.655178082191782</v>
      </c>
      <c r="Q35" s="22">
        <f t="shared" si="6"/>
        <v>13.77</v>
      </c>
      <c r="R35" s="22">
        <f t="shared" si="6"/>
        <v>0</v>
      </c>
      <c r="S35" s="73">
        <f>SUM(N35:R35)</f>
        <v>34.105178082191784</v>
      </c>
      <c r="T35" s="33">
        <f>S35/I35*100</f>
        <v>24.19764941429742</v>
      </c>
    </row>
    <row r="36" spans="1:20" ht="15">
      <c r="A36" s="40"/>
      <c r="B36" s="44" t="s">
        <v>115</v>
      </c>
      <c r="C36" s="40"/>
      <c r="D36" s="44"/>
      <c r="E36" s="44"/>
      <c r="F36" s="44"/>
      <c r="G36" s="44"/>
      <c r="H36" s="22">
        <f>H35*152</f>
        <v>21423.515068493143</v>
      </c>
      <c r="I36" s="22">
        <f>I35*152</f>
        <v>21423.515068493143</v>
      </c>
      <c r="J36" s="22">
        <f aca="true" t="shared" si="7" ref="J36:R36">J35*152</f>
        <v>0</v>
      </c>
      <c r="K36" s="22">
        <f t="shared" si="7"/>
        <v>0</v>
      </c>
      <c r="L36" s="22">
        <f>L35*152</f>
        <v>93806.8</v>
      </c>
      <c r="M36" s="22">
        <f t="shared" si="7"/>
        <v>16239.527999999995</v>
      </c>
      <c r="N36" s="22">
        <f>N35*152</f>
        <v>711.3599999999999</v>
      </c>
      <c r="O36" s="22">
        <f t="shared" si="7"/>
        <v>0</v>
      </c>
      <c r="P36" s="22">
        <f t="shared" si="7"/>
        <v>2379.5870684931506</v>
      </c>
      <c r="Q36" s="22">
        <f t="shared" si="7"/>
        <v>2093.04</v>
      </c>
      <c r="R36" s="22">
        <f t="shared" si="7"/>
        <v>0</v>
      </c>
      <c r="T36" s="33"/>
    </row>
    <row r="37" spans="1:18" ht="21" customHeight="1">
      <c r="A37" s="40"/>
      <c r="B37" s="44" t="s">
        <v>188</v>
      </c>
      <c r="C37" s="40"/>
      <c r="D37" s="44"/>
      <c r="E37" s="44"/>
      <c r="F37" s="44"/>
      <c r="G37" s="44"/>
      <c r="H37" s="22">
        <f aca="true" t="shared" si="8" ref="H37:R37">H20+H36</f>
        <v>234408.7915616438</v>
      </c>
      <c r="I37" s="22">
        <f t="shared" si="8"/>
        <v>55119.59156164383</v>
      </c>
      <c r="J37" s="22">
        <f t="shared" si="8"/>
        <v>0</v>
      </c>
      <c r="K37" s="22">
        <f t="shared" si="8"/>
        <v>0</v>
      </c>
      <c r="L37" s="22">
        <f t="shared" si="8"/>
        <v>273096</v>
      </c>
      <c r="M37" s="22">
        <f t="shared" si="8"/>
        <v>45784.367999999995</v>
      </c>
      <c r="N37" s="22">
        <f t="shared" si="8"/>
        <v>1766.3799999999999</v>
      </c>
      <c r="O37" s="22">
        <f t="shared" si="8"/>
        <v>0</v>
      </c>
      <c r="P37" s="22">
        <f t="shared" si="8"/>
        <v>2529.0235616438354</v>
      </c>
      <c r="Q37" s="22">
        <f t="shared" si="8"/>
        <v>5039.82</v>
      </c>
      <c r="R37" s="22">
        <f t="shared" si="8"/>
        <v>0</v>
      </c>
    </row>
    <row r="39" ht="15">
      <c r="A39" s="32" t="s">
        <v>116</v>
      </c>
    </row>
    <row r="41" spans="1:6" ht="63.75" customHeight="1">
      <c r="A41" s="29" t="s">
        <v>123</v>
      </c>
      <c r="B41" s="29" t="s">
        <v>124</v>
      </c>
      <c r="C41" s="29" t="s">
        <v>119</v>
      </c>
      <c r="D41" s="29" t="s">
        <v>120</v>
      </c>
      <c r="E41" s="29" t="s">
        <v>121</v>
      </c>
      <c r="F41" s="29" t="s">
        <v>122</v>
      </c>
    </row>
    <row r="42" spans="1:6" ht="15">
      <c r="A42" s="52" t="s">
        <v>60</v>
      </c>
      <c r="B42" s="28" t="s">
        <v>117</v>
      </c>
      <c r="C42" s="53">
        <v>301.08</v>
      </c>
      <c r="D42" s="53">
        <v>50.66</v>
      </c>
      <c r="E42" s="53">
        <v>415.26</v>
      </c>
      <c r="F42" s="53">
        <f>C42+D42+E42</f>
        <v>767</v>
      </c>
    </row>
    <row r="43" spans="1:6" ht="15">
      <c r="A43" s="52" t="s">
        <v>129</v>
      </c>
      <c r="B43" s="28" t="s">
        <v>118</v>
      </c>
      <c r="C43" s="53">
        <v>593.55</v>
      </c>
      <c r="D43" s="53">
        <v>0</v>
      </c>
      <c r="E43" s="53">
        <v>0</v>
      </c>
      <c r="F43" s="53">
        <f>C43+D43+E43</f>
        <v>593.55</v>
      </c>
    </row>
    <row r="44" spans="1:6" ht="30.75">
      <c r="A44" s="52" t="s">
        <v>130</v>
      </c>
      <c r="B44" s="28" t="s">
        <v>108</v>
      </c>
      <c r="C44" s="53">
        <v>301.08</v>
      </c>
      <c r="D44" s="53">
        <v>50.66</v>
      </c>
      <c r="E44" s="53">
        <v>0</v>
      </c>
      <c r="F44" s="53">
        <f>C44+D44+E44</f>
        <v>351.74</v>
      </c>
    </row>
    <row r="45" spans="1:6" ht="15">
      <c r="A45" s="62"/>
      <c r="B45" s="63"/>
      <c r="C45" s="64"/>
      <c r="D45" s="64"/>
      <c r="E45" s="64"/>
      <c r="F45" s="64"/>
    </row>
    <row r="46" spans="1:8" ht="18">
      <c r="A46" s="56" t="s">
        <v>187</v>
      </c>
      <c r="H46" s="67"/>
    </row>
    <row r="47" spans="1:6" ht="15">
      <c r="A47" s="62"/>
      <c r="B47" s="63"/>
      <c r="C47" s="64"/>
      <c r="D47" s="64"/>
      <c r="E47" s="64"/>
      <c r="F47" s="64"/>
    </row>
    <row r="48" spans="1:6" ht="15">
      <c r="A48" s="62"/>
      <c r="B48" s="63"/>
      <c r="C48" s="64"/>
      <c r="D48" s="64"/>
      <c r="E48" s="64"/>
      <c r="F48" s="64"/>
    </row>
    <row r="49" spans="1:6" ht="15">
      <c r="A49" s="62"/>
      <c r="B49" s="63"/>
      <c r="C49" s="64"/>
      <c r="D49" s="64"/>
      <c r="E49" s="64"/>
      <c r="F49" s="64"/>
    </row>
    <row r="50" spans="1:6" ht="15">
      <c r="A50" s="62"/>
      <c r="B50" s="63"/>
      <c r="C50" s="64"/>
      <c r="D50" s="64"/>
      <c r="E50" s="64"/>
      <c r="F50" s="64"/>
    </row>
    <row r="51" spans="1:6" ht="15">
      <c r="A51" s="62"/>
      <c r="B51" s="63"/>
      <c r="C51" s="64"/>
      <c r="D51" s="64"/>
      <c r="E51" s="64"/>
      <c r="F51" s="64"/>
    </row>
  </sheetData>
  <sheetProtection/>
  <mergeCells count="14">
    <mergeCell ref="E28:E31"/>
    <mergeCell ref="I5:L5"/>
    <mergeCell ref="M5:M6"/>
    <mergeCell ref="N5:Q5"/>
    <mergeCell ref="R5:R6"/>
    <mergeCell ref="A7:R7"/>
    <mergeCell ref="E14:E17"/>
    <mergeCell ref="A5:A6"/>
    <mergeCell ref="B5:B6"/>
    <mergeCell ref="C5:C6"/>
    <mergeCell ref="D5:D6"/>
    <mergeCell ref="E5:G5"/>
    <mergeCell ref="H5:H6"/>
    <mergeCell ref="A21:R21"/>
  </mergeCells>
  <printOptions horizontalCentered="1"/>
  <pageMargins left="0.7" right="0.7" top="0.75" bottom="0.75" header="0.3" footer="0.3"/>
  <pageSetup fitToHeight="0" fitToWidth="1" horizontalDpi="600" verticalDpi="600" orientation="landscape" paperSize="8" scale="87" r:id="rId1"/>
  <rowBreaks count="1" manualBreakCount="1">
    <brk id="26" max="17" man="1"/>
  </rowBreaks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="70" zoomScaleNormal="70" zoomScaleSheetLayoutView="70" zoomScalePageLayoutView="0" workbookViewId="0" topLeftCell="A19">
      <selection activeCell="D42" sqref="D42"/>
    </sheetView>
  </sheetViews>
  <sheetFormatPr defaultColWidth="9.00390625" defaultRowHeight="12.75"/>
  <cols>
    <col min="1" max="1" width="6.875" style="32" customWidth="1"/>
    <col min="2" max="2" width="31.00390625" style="32" customWidth="1"/>
    <col min="3" max="3" width="16.875" style="32" customWidth="1"/>
    <col min="4" max="4" width="15.375" style="32" customWidth="1"/>
    <col min="5" max="5" width="14.875" style="32" customWidth="1"/>
    <col min="6" max="6" width="12.75390625" style="32" customWidth="1"/>
    <col min="7" max="7" width="10.875" style="32" customWidth="1"/>
    <col min="8" max="8" width="17.25390625" style="32" customWidth="1"/>
    <col min="9" max="9" width="15.125" style="32" customWidth="1"/>
    <col min="10" max="10" width="5.75390625" style="32" hidden="1" customWidth="1"/>
    <col min="11" max="11" width="5.875" style="32" hidden="1" customWidth="1"/>
    <col min="12" max="12" width="15.25390625" style="32" customWidth="1"/>
    <col min="13" max="13" width="15.50390625" style="32" customWidth="1"/>
    <col min="14" max="14" width="11.875" style="32" customWidth="1"/>
    <col min="15" max="15" width="6.50390625" style="32" hidden="1" customWidth="1"/>
    <col min="16" max="16" width="14.125" style="32" customWidth="1"/>
    <col min="17" max="17" width="16.00390625" style="32" customWidth="1"/>
    <col min="18" max="18" width="14.50390625" style="32" customWidth="1"/>
    <col min="19" max="19" width="14.375" style="32" customWidth="1"/>
    <col min="20" max="20" width="9.50390625" style="32" customWidth="1"/>
    <col min="21" max="16384" width="8.875" style="32" customWidth="1"/>
  </cols>
  <sheetData>
    <row r="1" spans="1:8" s="55" customFormat="1" ht="17.25">
      <c r="A1" s="55" t="s">
        <v>224</v>
      </c>
      <c r="H1" s="66"/>
    </row>
    <row r="2" s="56" customFormat="1" ht="18">
      <c r="A2" s="56" t="s">
        <v>85</v>
      </c>
    </row>
    <row r="3" s="56" customFormat="1" ht="18">
      <c r="A3" s="56" t="s">
        <v>86</v>
      </c>
    </row>
    <row r="5" spans="1:18" ht="38.25" customHeight="1">
      <c r="A5" s="77" t="s">
        <v>0</v>
      </c>
      <c r="B5" s="83" t="s">
        <v>50</v>
      </c>
      <c r="C5" s="83" t="s">
        <v>33</v>
      </c>
      <c r="D5" s="83" t="s">
        <v>39</v>
      </c>
      <c r="E5" s="78" t="s">
        <v>1</v>
      </c>
      <c r="F5" s="79"/>
      <c r="G5" s="80"/>
      <c r="H5" s="81" t="s">
        <v>34</v>
      </c>
      <c r="I5" s="78" t="s">
        <v>5</v>
      </c>
      <c r="J5" s="79"/>
      <c r="K5" s="79"/>
      <c r="L5" s="80"/>
      <c r="M5" s="75" t="s">
        <v>20</v>
      </c>
      <c r="N5" s="78" t="s">
        <v>10</v>
      </c>
      <c r="O5" s="79"/>
      <c r="P5" s="79"/>
      <c r="Q5" s="80"/>
      <c r="R5" s="75" t="s">
        <v>11</v>
      </c>
    </row>
    <row r="6" spans="1:18" ht="93" customHeight="1">
      <c r="A6" s="77"/>
      <c r="B6" s="82"/>
      <c r="C6" s="82"/>
      <c r="D6" s="82"/>
      <c r="E6" s="34" t="s">
        <v>2</v>
      </c>
      <c r="F6" s="34" t="s">
        <v>3</v>
      </c>
      <c r="G6" s="34" t="s">
        <v>4</v>
      </c>
      <c r="H6" s="82"/>
      <c r="I6" s="34" t="s">
        <v>8</v>
      </c>
      <c r="J6" s="34" t="s">
        <v>6</v>
      </c>
      <c r="K6" s="34" t="s">
        <v>7</v>
      </c>
      <c r="L6" s="34" t="s">
        <v>9</v>
      </c>
      <c r="M6" s="76"/>
      <c r="N6" s="34" t="s">
        <v>12</v>
      </c>
      <c r="O6" s="34" t="s">
        <v>13</v>
      </c>
      <c r="P6" s="34" t="s">
        <v>14</v>
      </c>
      <c r="Q6" s="34" t="s">
        <v>15</v>
      </c>
      <c r="R6" s="76"/>
    </row>
    <row r="7" spans="1:18" s="37" customFormat="1" ht="15">
      <c r="A7" s="84" t="s">
        <v>68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s="37" customFormat="1" ht="15">
      <c r="A8" s="38">
        <v>1</v>
      </c>
      <c r="B8" s="35" t="s">
        <v>69</v>
      </c>
      <c r="C8" s="35"/>
      <c r="D8" s="35"/>
      <c r="E8" s="35"/>
      <c r="F8" s="39"/>
      <c r="G8" s="39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62.25" customHeight="1">
      <c r="A9" s="27" t="s">
        <v>54</v>
      </c>
      <c r="B9" s="28" t="s">
        <v>102</v>
      </c>
      <c r="C9" s="29" t="s">
        <v>146</v>
      </c>
      <c r="D9" s="30" t="s">
        <v>35</v>
      </c>
      <c r="E9" s="77" t="s">
        <v>150</v>
      </c>
      <c r="F9" s="31" t="s">
        <v>79</v>
      </c>
      <c r="G9" s="31" t="s">
        <v>48</v>
      </c>
      <c r="H9" s="18">
        <f>I9+L9</f>
        <v>28.56</v>
      </c>
      <c r="I9" s="18">
        <f>L9*0.02</f>
        <v>0.56</v>
      </c>
      <c r="J9" s="18"/>
      <c r="K9" s="18"/>
      <c r="L9" s="18">
        <f>14*2</f>
        <v>28</v>
      </c>
      <c r="M9" s="18">
        <f>I9</f>
        <v>0.56</v>
      </c>
      <c r="N9" s="18"/>
      <c r="O9" s="18"/>
      <c r="P9" s="18"/>
      <c r="Q9" s="18"/>
      <c r="R9" s="18"/>
    </row>
    <row r="10" spans="1:18" ht="30.75">
      <c r="A10" s="27" t="s">
        <v>55</v>
      </c>
      <c r="B10" s="28" t="s">
        <v>102</v>
      </c>
      <c r="C10" s="29" t="s">
        <v>17</v>
      </c>
      <c r="D10" s="30" t="s">
        <v>35</v>
      </c>
      <c r="E10" s="77"/>
      <c r="F10" s="29" t="s">
        <v>18</v>
      </c>
      <c r="G10" s="31" t="s">
        <v>48</v>
      </c>
      <c r="H10" s="18">
        <v>0.2</v>
      </c>
      <c r="I10" s="18">
        <v>0.2</v>
      </c>
      <c r="J10" s="18"/>
      <c r="K10" s="18"/>
      <c r="L10" s="18"/>
      <c r="M10" s="18"/>
      <c r="N10" s="18"/>
      <c r="O10" s="18"/>
      <c r="P10" s="18">
        <v>0.2</v>
      </c>
      <c r="Q10" s="18"/>
      <c r="R10" s="18"/>
    </row>
    <row r="11" spans="1:18" ht="15">
      <c r="A11" s="27" t="s">
        <v>56</v>
      </c>
      <c r="B11" s="40" t="s">
        <v>76</v>
      </c>
      <c r="C11" s="29" t="s">
        <v>46</v>
      </c>
      <c r="D11" s="30" t="s">
        <v>53</v>
      </c>
      <c r="E11" s="77"/>
      <c r="F11" s="29" t="s">
        <v>21</v>
      </c>
      <c r="G11" s="31" t="s">
        <v>48</v>
      </c>
      <c r="H11" s="18">
        <f>I11+L11</f>
        <v>4</v>
      </c>
      <c r="I11" s="18">
        <v>4</v>
      </c>
      <c r="J11" s="18"/>
      <c r="K11" s="18"/>
      <c r="L11" s="18"/>
      <c r="M11" s="18"/>
      <c r="N11" s="18"/>
      <c r="O11" s="18"/>
      <c r="P11" s="18">
        <v>4</v>
      </c>
      <c r="Q11" s="18"/>
      <c r="R11" s="18"/>
    </row>
    <row r="12" spans="1:18" ht="15">
      <c r="A12" s="27" t="s">
        <v>57</v>
      </c>
      <c r="B12" s="28" t="s">
        <v>77</v>
      </c>
      <c r="C12" s="29" t="s">
        <v>46</v>
      </c>
      <c r="D12" s="30" t="s">
        <v>88</v>
      </c>
      <c r="E12" s="77"/>
      <c r="F12" s="29" t="s">
        <v>21</v>
      </c>
      <c r="G12" s="31" t="s">
        <v>48</v>
      </c>
      <c r="H12" s="18">
        <f>I12+L12</f>
        <v>12</v>
      </c>
      <c r="I12" s="18">
        <v>12</v>
      </c>
      <c r="J12" s="18"/>
      <c r="K12" s="18"/>
      <c r="L12" s="18"/>
      <c r="M12" s="18"/>
      <c r="N12" s="18"/>
      <c r="O12" s="18"/>
      <c r="P12" s="18">
        <v>12</v>
      </c>
      <c r="Q12" s="18"/>
      <c r="R12" s="18"/>
    </row>
    <row r="13" spans="1:18" ht="30.75">
      <c r="A13" s="27" t="s">
        <v>58</v>
      </c>
      <c r="B13" s="40" t="s">
        <v>89</v>
      </c>
      <c r="C13" s="29" t="s">
        <v>146</v>
      </c>
      <c r="D13" s="30" t="s">
        <v>49</v>
      </c>
      <c r="E13" s="77" t="s">
        <v>51</v>
      </c>
      <c r="F13" s="29" t="s">
        <v>155</v>
      </c>
      <c r="G13" s="31" t="s">
        <v>48</v>
      </c>
      <c r="H13" s="18">
        <f>I13+L13</f>
        <v>1.5</v>
      </c>
      <c r="I13" s="18">
        <v>1.5</v>
      </c>
      <c r="J13" s="18"/>
      <c r="K13" s="18"/>
      <c r="L13" s="18"/>
      <c r="M13" s="18">
        <v>1.5</v>
      </c>
      <c r="N13" s="18"/>
      <c r="O13" s="18"/>
      <c r="P13" s="18"/>
      <c r="Q13" s="18"/>
      <c r="R13" s="18"/>
    </row>
    <row r="14" spans="1:18" ht="30.75">
      <c r="A14" s="27" t="s">
        <v>59</v>
      </c>
      <c r="B14" s="28" t="s">
        <v>90</v>
      </c>
      <c r="C14" s="29" t="s">
        <v>47</v>
      </c>
      <c r="D14" s="30" t="s">
        <v>49</v>
      </c>
      <c r="E14" s="77"/>
      <c r="F14" s="29" t="s">
        <v>158</v>
      </c>
      <c r="G14" s="31" t="s">
        <v>48</v>
      </c>
      <c r="H14" s="18">
        <v>28.37</v>
      </c>
      <c r="I14" s="18">
        <v>28.37</v>
      </c>
      <c r="J14" s="18"/>
      <c r="K14" s="18"/>
      <c r="L14" s="18"/>
      <c r="M14" s="18"/>
      <c r="N14" s="18"/>
      <c r="O14" s="18"/>
      <c r="P14" s="18"/>
      <c r="Q14" s="18">
        <v>28.37</v>
      </c>
      <c r="R14" s="18"/>
    </row>
    <row r="15" spans="1:18" ht="35.25" customHeight="1">
      <c r="A15" s="27" t="s">
        <v>60</v>
      </c>
      <c r="B15" s="28" t="s">
        <v>52</v>
      </c>
      <c r="C15" s="29" t="s">
        <v>16</v>
      </c>
      <c r="D15" s="29" t="s">
        <v>163</v>
      </c>
      <c r="E15" s="29" t="s">
        <v>113</v>
      </c>
      <c r="F15" s="29" t="s">
        <v>112</v>
      </c>
      <c r="G15" s="31" t="s">
        <v>48</v>
      </c>
      <c r="H15" s="18">
        <f>I15+L15</f>
        <v>2407.0584</v>
      </c>
      <c r="I15" s="18">
        <f>L15*0.0075*24</f>
        <v>367.1784</v>
      </c>
      <c r="J15" s="18"/>
      <c r="K15" s="18"/>
      <c r="L15" s="18">
        <v>2039.88</v>
      </c>
      <c r="M15" s="18">
        <f>I15</f>
        <v>367.1784</v>
      </c>
      <c r="N15" s="18"/>
      <c r="O15" s="18"/>
      <c r="P15" s="18"/>
      <c r="Q15" s="18"/>
      <c r="R15" s="18"/>
    </row>
    <row r="16" spans="1:18" ht="37.5" customHeight="1">
      <c r="A16" s="27"/>
      <c r="B16" s="42" t="s">
        <v>24</v>
      </c>
      <c r="C16" s="43"/>
      <c r="D16" s="44"/>
      <c r="E16" s="44"/>
      <c r="F16" s="44"/>
      <c r="G16" s="45"/>
      <c r="H16" s="22">
        <f aca="true" t="shared" si="0" ref="H16:R16">SUM(H9:H15)</f>
        <v>2481.6884</v>
      </c>
      <c r="I16" s="22">
        <f t="shared" si="0"/>
        <v>413.8084</v>
      </c>
      <c r="J16" s="22">
        <f t="shared" si="0"/>
        <v>0</v>
      </c>
      <c r="K16" s="22">
        <f t="shared" si="0"/>
        <v>0</v>
      </c>
      <c r="L16" s="22">
        <f t="shared" si="0"/>
        <v>2067.88</v>
      </c>
      <c r="M16" s="22">
        <f t="shared" si="0"/>
        <v>369.2384</v>
      </c>
      <c r="N16" s="22">
        <f t="shared" si="0"/>
        <v>0</v>
      </c>
      <c r="O16" s="22">
        <f t="shared" si="0"/>
        <v>0</v>
      </c>
      <c r="P16" s="22">
        <f>SUM(P9:P15)</f>
        <v>16.2</v>
      </c>
      <c r="Q16" s="22">
        <f t="shared" si="0"/>
        <v>28.37</v>
      </c>
      <c r="R16" s="22">
        <f t="shared" si="0"/>
        <v>0</v>
      </c>
    </row>
    <row r="17" spans="1:20" s="37" customFormat="1" ht="15.75" customHeight="1">
      <c r="A17" s="38">
        <v>2</v>
      </c>
      <c r="B17" s="47" t="s">
        <v>25</v>
      </c>
      <c r="C17" s="35"/>
      <c r="D17" s="35"/>
      <c r="E17" s="35"/>
      <c r="F17" s="39"/>
      <c r="G17" s="39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T17" s="46"/>
    </row>
    <row r="18" spans="1:18" s="37" customFormat="1" ht="15">
      <c r="A18" s="27" t="s">
        <v>63</v>
      </c>
      <c r="B18" s="28" t="s">
        <v>42</v>
      </c>
      <c r="C18" s="29" t="s">
        <v>27</v>
      </c>
      <c r="D18" s="29" t="s">
        <v>36</v>
      </c>
      <c r="E18" s="83" t="s">
        <v>29</v>
      </c>
      <c r="F18" s="29">
        <v>0.012</v>
      </c>
      <c r="G18" s="31" t="s">
        <v>48</v>
      </c>
      <c r="H18" s="18">
        <f>F18*2</f>
        <v>0.024</v>
      </c>
      <c r="I18" s="18">
        <f>H18</f>
        <v>0.024</v>
      </c>
      <c r="J18" s="18"/>
      <c r="K18" s="18"/>
      <c r="L18" s="18"/>
      <c r="M18" s="18"/>
      <c r="N18" s="18">
        <f>H18</f>
        <v>0.024</v>
      </c>
      <c r="O18" s="18"/>
      <c r="P18" s="18"/>
      <c r="Q18" s="18"/>
      <c r="R18" s="18"/>
    </row>
    <row r="19" spans="1:18" ht="30.75" customHeight="1">
      <c r="A19" s="27" t="s">
        <v>64</v>
      </c>
      <c r="B19" s="28" t="s">
        <v>43</v>
      </c>
      <c r="C19" s="29" t="s">
        <v>27</v>
      </c>
      <c r="D19" s="29" t="s">
        <v>157</v>
      </c>
      <c r="E19" s="87"/>
      <c r="F19" s="29">
        <v>0.025</v>
      </c>
      <c r="G19" s="31" t="s">
        <v>48</v>
      </c>
      <c r="H19" s="18">
        <f>F19*35</f>
        <v>0.875</v>
      </c>
      <c r="I19" s="18">
        <f>H19</f>
        <v>0.875</v>
      </c>
      <c r="J19" s="18"/>
      <c r="K19" s="18"/>
      <c r="L19" s="18"/>
      <c r="M19" s="18"/>
      <c r="N19" s="18">
        <f>H19</f>
        <v>0.875</v>
      </c>
      <c r="O19" s="18"/>
      <c r="P19" s="18"/>
      <c r="Q19" s="18"/>
      <c r="R19" s="18"/>
    </row>
    <row r="20" spans="1:18" ht="15.75" customHeight="1">
      <c r="A20" s="27" t="s">
        <v>65</v>
      </c>
      <c r="B20" s="28" t="s">
        <v>44</v>
      </c>
      <c r="C20" s="29" t="s">
        <v>27</v>
      </c>
      <c r="D20" s="29" t="s">
        <v>23</v>
      </c>
      <c r="E20" s="87"/>
      <c r="F20" s="29">
        <v>0.5</v>
      </c>
      <c r="G20" s="31" t="s">
        <v>48</v>
      </c>
      <c r="H20" s="18">
        <v>1</v>
      </c>
      <c r="I20" s="18">
        <f>H20</f>
        <v>1</v>
      </c>
      <c r="J20" s="18"/>
      <c r="K20" s="18"/>
      <c r="L20" s="18"/>
      <c r="M20" s="18"/>
      <c r="N20" s="18">
        <f>H20</f>
        <v>1</v>
      </c>
      <c r="O20" s="18"/>
      <c r="P20" s="18"/>
      <c r="Q20" s="18"/>
      <c r="R20" s="18"/>
    </row>
    <row r="21" spans="1:18" ht="15.75" customHeight="1">
      <c r="A21" s="27" t="s">
        <v>66</v>
      </c>
      <c r="B21" s="28" t="s">
        <v>31</v>
      </c>
      <c r="C21" s="29" t="s">
        <v>27</v>
      </c>
      <c r="D21" s="29" t="s">
        <v>104</v>
      </c>
      <c r="E21" s="82"/>
      <c r="F21" s="29">
        <v>0.0005</v>
      </c>
      <c r="G21" s="31" t="s">
        <v>48</v>
      </c>
      <c r="H21" s="18">
        <f>F21*1903.3</f>
        <v>0.95165</v>
      </c>
      <c r="I21" s="18">
        <f>H21</f>
        <v>0.95165</v>
      </c>
      <c r="J21" s="18"/>
      <c r="K21" s="18"/>
      <c r="L21" s="18"/>
      <c r="M21" s="18"/>
      <c r="N21" s="18">
        <f>H21</f>
        <v>0.95165</v>
      </c>
      <c r="O21" s="18"/>
      <c r="P21" s="18"/>
      <c r="Q21" s="18"/>
      <c r="R21" s="18"/>
    </row>
    <row r="22" spans="1:18" ht="15.75" customHeight="1">
      <c r="A22" s="41"/>
      <c r="B22" s="42" t="s">
        <v>24</v>
      </c>
      <c r="C22" s="44"/>
      <c r="D22" s="44"/>
      <c r="E22" s="44"/>
      <c r="F22" s="44"/>
      <c r="G22" s="44"/>
      <c r="H22" s="22">
        <f>SUM(H18:H21)</f>
        <v>2.85065</v>
      </c>
      <c r="I22" s="22">
        <f aca="true" t="shared" si="1" ref="I22:R22">SUM(I18:I21)</f>
        <v>2.85065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2.85065</v>
      </c>
      <c r="O22" s="22">
        <f t="shared" si="1"/>
        <v>0</v>
      </c>
      <c r="P22" s="22">
        <f t="shared" si="1"/>
        <v>0</v>
      </c>
      <c r="Q22" s="22">
        <f t="shared" si="1"/>
        <v>0</v>
      </c>
      <c r="R22" s="22">
        <f t="shared" si="1"/>
        <v>0</v>
      </c>
    </row>
    <row r="23" spans="1:20" s="37" customFormat="1" ht="15" customHeight="1">
      <c r="A23" s="40"/>
      <c r="B23" s="44" t="s">
        <v>67</v>
      </c>
      <c r="C23" s="40"/>
      <c r="D23" s="44"/>
      <c r="E23" s="44"/>
      <c r="F23" s="44"/>
      <c r="G23" s="44"/>
      <c r="H23" s="22">
        <f>H22+H16</f>
        <v>2484.53905</v>
      </c>
      <c r="I23" s="22">
        <f aca="true" t="shared" si="2" ref="I23:Q23">I22+I16</f>
        <v>416.65905</v>
      </c>
      <c r="J23" s="22">
        <f t="shared" si="2"/>
        <v>0</v>
      </c>
      <c r="K23" s="22">
        <f t="shared" si="2"/>
        <v>0</v>
      </c>
      <c r="L23" s="22">
        <f t="shared" si="2"/>
        <v>2067.88</v>
      </c>
      <c r="M23" s="22">
        <f t="shared" si="2"/>
        <v>369.2384</v>
      </c>
      <c r="N23" s="22">
        <f t="shared" si="2"/>
        <v>2.85065</v>
      </c>
      <c r="O23" s="22">
        <f t="shared" si="2"/>
        <v>0</v>
      </c>
      <c r="P23" s="22">
        <f t="shared" si="2"/>
        <v>16.2</v>
      </c>
      <c r="Q23" s="22">
        <f t="shared" si="2"/>
        <v>28.37</v>
      </c>
      <c r="R23" s="22">
        <f>R22+R16</f>
        <v>0</v>
      </c>
      <c r="S23" s="73">
        <f>SUM(N23:R23)</f>
        <v>47.420649999999995</v>
      </c>
      <c r="T23" s="33">
        <f>S23/I23*100</f>
        <v>11.38116404767879</v>
      </c>
    </row>
    <row r="24" spans="1:20" ht="15.75" customHeight="1">
      <c r="A24" s="40"/>
      <c r="B24" s="44" t="s">
        <v>109</v>
      </c>
      <c r="C24" s="40"/>
      <c r="D24" s="44"/>
      <c r="E24" s="44"/>
      <c r="F24" s="44"/>
      <c r="G24" s="44"/>
      <c r="H24" s="22">
        <f>H23*214</f>
        <v>531691.3567</v>
      </c>
      <c r="I24" s="22">
        <f aca="true" t="shared" si="3" ref="I24:R24">I23*214</f>
        <v>89165.0367</v>
      </c>
      <c r="J24" s="22">
        <f t="shared" si="3"/>
        <v>0</v>
      </c>
      <c r="K24" s="22">
        <f t="shared" si="3"/>
        <v>0</v>
      </c>
      <c r="L24" s="22">
        <f t="shared" si="3"/>
        <v>442526.32</v>
      </c>
      <c r="M24" s="22">
        <f t="shared" si="3"/>
        <v>79017.0176</v>
      </c>
      <c r="N24" s="22">
        <f t="shared" si="3"/>
        <v>610.0391</v>
      </c>
      <c r="O24" s="22">
        <f t="shared" si="3"/>
        <v>0</v>
      </c>
      <c r="P24" s="22">
        <f t="shared" si="3"/>
        <v>3466.7999999999997</v>
      </c>
      <c r="Q24" s="22">
        <f t="shared" si="3"/>
        <v>6071.18</v>
      </c>
      <c r="R24" s="22">
        <f t="shared" si="3"/>
        <v>0</v>
      </c>
      <c r="T24" s="33"/>
    </row>
    <row r="25" spans="1:20" ht="15.75" customHeight="1">
      <c r="A25" s="84" t="s">
        <v>70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T25" s="48"/>
    </row>
    <row r="26" spans="1:20" s="37" customFormat="1" ht="15">
      <c r="A26" s="38">
        <v>1</v>
      </c>
      <c r="B26" s="35" t="s">
        <v>69</v>
      </c>
      <c r="C26" s="35"/>
      <c r="D26" s="35"/>
      <c r="E26" s="35"/>
      <c r="F26" s="39"/>
      <c r="G26" s="3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  <c r="T26" s="48"/>
    </row>
    <row r="27" spans="1:18" ht="62.25" customHeight="1">
      <c r="A27" s="27" t="s">
        <v>54</v>
      </c>
      <c r="B27" s="28" t="s">
        <v>102</v>
      </c>
      <c r="C27" s="29" t="s">
        <v>146</v>
      </c>
      <c r="D27" s="30" t="s">
        <v>49</v>
      </c>
      <c r="E27" s="83" t="s">
        <v>32</v>
      </c>
      <c r="F27" s="31" t="s">
        <v>79</v>
      </c>
      <c r="G27" s="31" t="s">
        <v>48</v>
      </c>
      <c r="H27" s="18">
        <f>I27+L27</f>
        <v>14.28</v>
      </c>
      <c r="I27" s="18">
        <f>L27*0.02</f>
        <v>0.28</v>
      </c>
      <c r="J27" s="18"/>
      <c r="K27" s="18"/>
      <c r="L27" s="18">
        <f>14*1</f>
        <v>14</v>
      </c>
      <c r="M27" s="18">
        <f>I27</f>
        <v>0.28</v>
      </c>
      <c r="N27" s="18"/>
      <c r="O27" s="18"/>
      <c r="P27" s="18"/>
      <c r="Q27" s="18"/>
      <c r="R27" s="18"/>
    </row>
    <row r="28" spans="1:18" ht="30.75">
      <c r="A28" s="27" t="s">
        <v>55</v>
      </c>
      <c r="B28" s="28" t="s">
        <v>102</v>
      </c>
      <c r="C28" s="29" t="s">
        <v>17</v>
      </c>
      <c r="D28" s="30" t="s">
        <v>49</v>
      </c>
      <c r="E28" s="87"/>
      <c r="F28" s="29" t="s">
        <v>18</v>
      </c>
      <c r="G28" s="31" t="s">
        <v>48</v>
      </c>
      <c r="H28" s="18">
        <v>0.1</v>
      </c>
      <c r="I28" s="18">
        <v>0.1</v>
      </c>
      <c r="J28" s="18"/>
      <c r="K28" s="18"/>
      <c r="L28" s="18"/>
      <c r="M28" s="18"/>
      <c r="N28" s="18"/>
      <c r="O28" s="18"/>
      <c r="P28" s="18">
        <v>0.1</v>
      </c>
      <c r="Q28" s="18"/>
      <c r="R28" s="18"/>
    </row>
    <row r="29" spans="1:20" ht="15">
      <c r="A29" s="27" t="s">
        <v>56</v>
      </c>
      <c r="B29" s="40" t="s">
        <v>76</v>
      </c>
      <c r="C29" s="29" t="s">
        <v>46</v>
      </c>
      <c r="D29" s="30" t="s">
        <v>49</v>
      </c>
      <c r="E29" s="87"/>
      <c r="F29" s="31" t="s">
        <v>21</v>
      </c>
      <c r="G29" s="31" t="s">
        <v>48</v>
      </c>
      <c r="H29" s="18">
        <v>1</v>
      </c>
      <c r="I29" s="18">
        <v>1</v>
      </c>
      <c r="J29" s="18"/>
      <c r="K29" s="18"/>
      <c r="L29" s="18"/>
      <c r="M29" s="18"/>
      <c r="N29" s="18"/>
      <c r="O29" s="18"/>
      <c r="P29" s="18">
        <v>1</v>
      </c>
      <c r="Q29" s="18"/>
      <c r="R29" s="18"/>
      <c r="T29" s="33"/>
    </row>
    <row r="30" spans="1:20" ht="15">
      <c r="A30" s="27" t="s">
        <v>57</v>
      </c>
      <c r="B30" s="28" t="s">
        <v>77</v>
      </c>
      <c r="C30" s="29" t="s">
        <v>46</v>
      </c>
      <c r="D30" s="30" t="s">
        <v>84</v>
      </c>
      <c r="E30" s="87"/>
      <c r="F30" s="31" t="s">
        <v>21</v>
      </c>
      <c r="G30" s="31" t="s">
        <v>48</v>
      </c>
      <c r="H30" s="18">
        <v>8</v>
      </c>
      <c r="I30" s="18">
        <f>H30</f>
        <v>8</v>
      </c>
      <c r="J30" s="18"/>
      <c r="K30" s="18"/>
      <c r="L30" s="18"/>
      <c r="M30" s="18"/>
      <c r="N30" s="18"/>
      <c r="O30" s="18"/>
      <c r="P30" s="18">
        <f>H30</f>
        <v>8</v>
      </c>
      <c r="Q30" s="18"/>
      <c r="R30" s="18"/>
      <c r="T30" s="33"/>
    </row>
    <row r="31" spans="1:18" ht="30.75">
      <c r="A31" s="27" t="s">
        <v>58</v>
      </c>
      <c r="B31" s="40" t="s">
        <v>89</v>
      </c>
      <c r="C31" s="29" t="s">
        <v>146</v>
      </c>
      <c r="D31" s="30" t="s">
        <v>49</v>
      </c>
      <c r="E31" s="82"/>
      <c r="F31" s="29" t="s">
        <v>155</v>
      </c>
      <c r="G31" s="31" t="s">
        <v>48</v>
      </c>
      <c r="H31" s="18">
        <f>I31+L31</f>
        <v>1.5</v>
      </c>
      <c r="I31" s="18">
        <v>1.5</v>
      </c>
      <c r="J31" s="18"/>
      <c r="K31" s="18"/>
      <c r="L31" s="18"/>
      <c r="M31" s="18">
        <v>1.5</v>
      </c>
      <c r="N31" s="18"/>
      <c r="O31" s="18"/>
      <c r="P31" s="18"/>
      <c r="Q31" s="18"/>
      <c r="R31" s="18"/>
    </row>
    <row r="32" spans="1:18" ht="30.75">
      <c r="A32" s="27" t="s">
        <v>59</v>
      </c>
      <c r="B32" s="28" t="s">
        <v>90</v>
      </c>
      <c r="C32" s="29" t="s">
        <v>47</v>
      </c>
      <c r="D32" s="30" t="s">
        <v>49</v>
      </c>
      <c r="E32" s="29" t="s">
        <v>51</v>
      </c>
      <c r="F32" s="29" t="s">
        <v>158</v>
      </c>
      <c r="G32" s="31" t="s">
        <v>48</v>
      </c>
      <c r="H32" s="18">
        <v>7.01</v>
      </c>
      <c r="I32" s="18">
        <v>7.01</v>
      </c>
      <c r="J32" s="18"/>
      <c r="K32" s="18"/>
      <c r="L32" s="18"/>
      <c r="M32" s="18"/>
      <c r="N32" s="18"/>
      <c r="O32" s="18"/>
      <c r="P32" s="18"/>
      <c r="Q32" s="18">
        <v>7.01</v>
      </c>
      <c r="R32" s="18"/>
    </row>
    <row r="33" spans="1:20" ht="30.75">
      <c r="A33" s="27" t="s">
        <v>60</v>
      </c>
      <c r="B33" s="28" t="s">
        <v>45</v>
      </c>
      <c r="C33" s="29" t="s">
        <v>16</v>
      </c>
      <c r="D33" s="29" t="s">
        <v>162</v>
      </c>
      <c r="E33" s="29" t="s">
        <v>113</v>
      </c>
      <c r="F33" s="29" t="s">
        <v>112</v>
      </c>
      <c r="G33" s="31" t="s">
        <v>48</v>
      </c>
      <c r="H33" s="18">
        <f>I33+L33</f>
        <v>1264.016</v>
      </c>
      <c r="I33" s="18">
        <f>L33*0.0075*24</f>
        <v>192.81600000000003</v>
      </c>
      <c r="J33" s="18"/>
      <c r="K33" s="18"/>
      <c r="L33" s="18">
        <v>1071.2</v>
      </c>
      <c r="M33" s="18">
        <f>I33</f>
        <v>192.81600000000003</v>
      </c>
      <c r="N33" s="18"/>
      <c r="O33" s="18"/>
      <c r="P33" s="18">
        <f>I33-M33</f>
        <v>0</v>
      </c>
      <c r="Q33" s="18"/>
      <c r="R33" s="18"/>
      <c r="T33" s="33"/>
    </row>
    <row r="34" spans="1:20" s="37" customFormat="1" ht="15.75" customHeight="1">
      <c r="A34" s="41"/>
      <c r="B34" s="42" t="s">
        <v>24</v>
      </c>
      <c r="C34" s="43"/>
      <c r="D34" s="44"/>
      <c r="E34" s="44"/>
      <c r="F34" s="44"/>
      <c r="G34" s="45"/>
      <c r="H34" s="22">
        <f aca="true" t="shared" si="4" ref="H34:Q34">SUM(H27:H33)</f>
        <v>1295.9060000000002</v>
      </c>
      <c r="I34" s="22">
        <f t="shared" si="4"/>
        <v>210.70600000000002</v>
      </c>
      <c r="J34" s="22">
        <f t="shared" si="4"/>
        <v>0</v>
      </c>
      <c r="K34" s="22">
        <f t="shared" si="4"/>
        <v>0</v>
      </c>
      <c r="L34" s="22">
        <f t="shared" si="4"/>
        <v>1085.2</v>
      </c>
      <c r="M34" s="22">
        <f t="shared" si="4"/>
        <v>194.59600000000003</v>
      </c>
      <c r="N34" s="22">
        <f t="shared" si="4"/>
        <v>0</v>
      </c>
      <c r="O34" s="22">
        <f t="shared" si="4"/>
        <v>0</v>
      </c>
      <c r="P34" s="22">
        <f t="shared" si="4"/>
        <v>9.1</v>
      </c>
      <c r="Q34" s="22">
        <f t="shared" si="4"/>
        <v>7.01</v>
      </c>
      <c r="R34" s="24"/>
      <c r="T34" s="48"/>
    </row>
    <row r="35" spans="1:20" s="37" customFormat="1" ht="15">
      <c r="A35" s="38">
        <v>2</v>
      </c>
      <c r="B35" s="47" t="s">
        <v>25</v>
      </c>
      <c r="C35" s="35"/>
      <c r="D35" s="35"/>
      <c r="E35" s="35"/>
      <c r="F35" s="39"/>
      <c r="G35" s="39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8"/>
      <c r="T35" s="33"/>
    </row>
    <row r="36" spans="1:20" ht="30.75" customHeight="1">
      <c r="A36" s="27" t="s">
        <v>63</v>
      </c>
      <c r="B36" s="28" t="s">
        <v>26</v>
      </c>
      <c r="C36" s="29" t="s">
        <v>27</v>
      </c>
      <c r="D36" s="29" t="s">
        <v>36</v>
      </c>
      <c r="E36" s="83" t="s">
        <v>29</v>
      </c>
      <c r="F36" s="29">
        <v>0.012</v>
      </c>
      <c r="G36" s="31" t="s">
        <v>48</v>
      </c>
      <c r="H36" s="18">
        <f>F36*2</f>
        <v>0.024</v>
      </c>
      <c r="I36" s="18">
        <f>H36</f>
        <v>0.024</v>
      </c>
      <c r="J36" s="18"/>
      <c r="K36" s="18"/>
      <c r="L36" s="18"/>
      <c r="M36" s="18"/>
      <c r="N36" s="18">
        <f>H36</f>
        <v>0.024</v>
      </c>
      <c r="O36" s="18"/>
      <c r="P36" s="18"/>
      <c r="Q36" s="18"/>
      <c r="R36" s="18"/>
      <c r="T36" s="33"/>
    </row>
    <row r="37" spans="1:20" ht="15.75" customHeight="1">
      <c r="A37" s="27" t="s">
        <v>64</v>
      </c>
      <c r="B37" s="28" t="s">
        <v>28</v>
      </c>
      <c r="C37" s="29" t="s">
        <v>27</v>
      </c>
      <c r="D37" s="29" t="s">
        <v>157</v>
      </c>
      <c r="E37" s="87"/>
      <c r="F37" s="29">
        <v>0.025</v>
      </c>
      <c r="G37" s="31" t="s">
        <v>48</v>
      </c>
      <c r="H37" s="18">
        <f>F37*35*2</f>
        <v>1.75</v>
      </c>
      <c r="I37" s="18">
        <f>H37</f>
        <v>1.75</v>
      </c>
      <c r="J37" s="18"/>
      <c r="K37" s="18"/>
      <c r="L37" s="18"/>
      <c r="M37" s="18"/>
      <c r="N37" s="18">
        <f>H37</f>
        <v>1.75</v>
      </c>
      <c r="O37" s="18"/>
      <c r="P37" s="18"/>
      <c r="Q37" s="18"/>
      <c r="R37" s="18"/>
      <c r="T37" s="33"/>
    </row>
    <row r="38" spans="1:20" ht="15">
      <c r="A38" s="27" t="s">
        <v>65</v>
      </c>
      <c r="B38" s="28" t="s">
        <v>30</v>
      </c>
      <c r="C38" s="29" t="s">
        <v>27</v>
      </c>
      <c r="D38" s="30" t="s">
        <v>229</v>
      </c>
      <c r="E38" s="87"/>
      <c r="F38" s="29">
        <v>0.5</v>
      </c>
      <c r="G38" s="31" t="s">
        <v>48</v>
      </c>
      <c r="H38" s="18">
        <v>2</v>
      </c>
      <c r="I38" s="18">
        <f>H38</f>
        <v>2</v>
      </c>
      <c r="J38" s="18"/>
      <c r="K38" s="18"/>
      <c r="L38" s="18"/>
      <c r="M38" s="18"/>
      <c r="N38" s="18">
        <f>H38</f>
        <v>2</v>
      </c>
      <c r="O38" s="18"/>
      <c r="P38" s="18"/>
      <c r="Q38" s="18"/>
      <c r="R38" s="18"/>
      <c r="T38" s="33"/>
    </row>
    <row r="39" spans="1:20" ht="15.75" customHeight="1">
      <c r="A39" s="27" t="s">
        <v>66</v>
      </c>
      <c r="B39" s="28" t="s">
        <v>31</v>
      </c>
      <c r="C39" s="29" t="s">
        <v>27</v>
      </c>
      <c r="D39" s="29" t="s">
        <v>104</v>
      </c>
      <c r="E39" s="82"/>
      <c r="F39" s="29">
        <v>0.0005</v>
      </c>
      <c r="G39" s="31" t="s">
        <v>48</v>
      </c>
      <c r="H39" s="18">
        <f>F39*1903.3*4</f>
        <v>3.8066</v>
      </c>
      <c r="I39" s="18">
        <f>H39</f>
        <v>3.8066</v>
      </c>
      <c r="J39" s="18"/>
      <c r="K39" s="18"/>
      <c r="L39" s="18"/>
      <c r="M39" s="18"/>
      <c r="N39" s="18">
        <f>H39</f>
        <v>3.8066</v>
      </c>
      <c r="O39" s="18"/>
      <c r="P39" s="18"/>
      <c r="Q39" s="18"/>
      <c r="R39" s="22">
        <f aca="true" t="shared" si="5" ref="I39:R40">SUM(R35:R38)</f>
        <v>0</v>
      </c>
      <c r="T39" s="48"/>
    </row>
    <row r="40" spans="1:20" s="37" customFormat="1" ht="15.75" customHeight="1">
      <c r="A40" s="41"/>
      <c r="B40" s="42" t="s">
        <v>24</v>
      </c>
      <c r="C40" s="43"/>
      <c r="D40" s="44"/>
      <c r="E40" s="44"/>
      <c r="F40" s="44"/>
      <c r="G40" s="45"/>
      <c r="H40" s="22">
        <f>SUM(H36:H39)</f>
        <v>7.5806000000000004</v>
      </c>
      <c r="I40" s="22">
        <f t="shared" si="5"/>
        <v>7.5806000000000004</v>
      </c>
      <c r="J40" s="22">
        <f t="shared" si="5"/>
        <v>0</v>
      </c>
      <c r="K40" s="22">
        <f t="shared" si="5"/>
        <v>0</v>
      </c>
      <c r="L40" s="22">
        <f t="shared" si="5"/>
        <v>0</v>
      </c>
      <c r="M40" s="22">
        <f t="shared" si="5"/>
        <v>0</v>
      </c>
      <c r="N40" s="22">
        <f t="shared" si="5"/>
        <v>7.5806000000000004</v>
      </c>
      <c r="O40" s="22">
        <f t="shared" si="5"/>
        <v>0</v>
      </c>
      <c r="P40" s="22">
        <f t="shared" si="5"/>
        <v>0</v>
      </c>
      <c r="Q40" s="22">
        <f t="shared" si="5"/>
        <v>0</v>
      </c>
      <c r="R40" s="22">
        <v>0</v>
      </c>
      <c r="T40" s="33"/>
    </row>
    <row r="41" spans="1:20" s="37" customFormat="1" ht="15">
      <c r="A41" s="38">
        <v>3</v>
      </c>
      <c r="B41" s="47" t="s">
        <v>128</v>
      </c>
      <c r="C41" s="35"/>
      <c r="D41" s="35"/>
      <c r="E41" s="35"/>
      <c r="F41" s="39"/>
      <c r="G41" s="39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T41" s="48"/>
    </row>
    <row r="42" spans="1:20" ht="46.5">
      <c r="A42" s="27" t="s">
        <v>110</v>
      </c>
      <c r="B42" s="28" t="s">
        <v>52</v>
      </c>
      <c r="C42" s="29" t="s">
        <v>72</v>
      </c>
      <c r="D42" s="30" t="s">
        <v>230</v>
      </c>
      <c r="E42" s="29" t="s">
        <v>111</v>
      </c>
      <c r="F42" s="30" t="s">
        <v>114</v>
      </c>
      <c r="G42" s="31" t="s">
        <v>48</v>
      </c>
      <c r="H42" s="18"/>
      <c r="I42" s="18">
        <v>45.03</v>
      </c>
      <c r="J42" s="18"/>
      <c r="K42" s="18"/>
      <c r="L42" s="18"/>
      <c r="M42" s="18">
        <v>0</v>
      </c>
      <c r="N42" s="18"/>
      <c r="O42" s="18"/>
      <c r="P42" s="18">
        <f>I42</f>
        <v>45.03</v>
      </c>
      <c r="Q42" s="18"/>
      <c r="R42" s="18"/>
      <c r="T42" s="33"/>
    </row>
    <row r="43" spans="1:20" ht="15">
      <c r="A43" s="40"/>
      <c r="B43" s="44" t="s">
        <v>97</v>
      </c>
      <c r="C43" s="40"/>
      <c r="D43" s="44"/>
      <c r="E43" s="44"/>
      <c r="F43" s="44"/>
      <c r="G43" s="44"/>
      <c r="H43" s="22">
        <f>I43</f>
        <v>263.3166</v>
      </c>
      <c r="I43" s="22">
        <f>I34+I40+I42</f>
        <v>263.3166</v>
      </c>
      <c r="J43" s="22">
        <f aca="true" t="shared" si="6" ref="J43:R43">J34+J40+J42</f>
        <v>0</v>
      </c>
      <c r="K43" s="22">
        <f t="shared" si="6"/>
        <v>0</v>
      </c>
      <c r="L43" s="22">
        <f t="shared" si="6"/>
        <v>1085.2</v>
      </c>
      <c r="M43" s="22">
        <f t="shared" si="6"/>
        <v>194.59600000000003</v>
      </c>
      <c r="N43" s="22">
        <f t="shared" si="6"/>
        <v>7.5806000000000004</v>
      </c>
      <c r="O43" s="22">
        <f t="shared" si="6"/>
        <v>0</v>
      </c>
      <c r="P43" s="22">
        <f t="shared" si="6"/>
        <v>54.13</v>
      </c>
      <c r="Q43" s="22">
        <f t="shared" si="6"/>
        <v>7.01</v>
      </c>
      <c r="R43" s="22">
        <f t="shared" si="6"/>
        <v>0</v>
      </c>
      <c r="S43" s="73">
        <f>SUM(N43:R43)</f>
        <v>68.7206</v>
      </c>
      <c r="T43" s="33">
        <f>S43/I43*100</f>
        <v>26.098088764627832</v>
      </c>
    </row>
    <row r="44" spans="1:20" ht="15">
      <c r="A44" s="40"/>
      <c r="B44" s="44" t="s">
        <v>115</v>
      </c>
      <c r="C44" s="40"/>
      <c r="D44" s="44"/>
      <c r="E44" s="44"/>
      <c r="F44" s="44"/>
      <c r="G44" s="44"/>
      <c r="H44" s="22">
        <f>H43*152</f>
        <v>40024.1232</v>
      </c>
      <c r="I44" s="22">
        <f aca="true" t="shared" si="7" ref="I44:R44">I43*152</f>
        <v>40024.1232</v>
      </c>
      <c r="J44" s="22">
        <f t="shared" si="7"/>
        <v>0</v>
      </c>
      <c r="K44" s="22">
        <f t="shared" si="7"/>
        <v>0</v>
      </c>
      <c r="L44" s="22">
        <f t="shared" si="7"/>
        <v>164950.4</v>
      </c>
      <c r="M44" s="22">
        <f t="shared" si="7"/>
        <v>29578.592000000004</v>
      </c>
      <c r="N44" s="22">
        <f t="shared" si="7"/>
        <v>1152.2512000000002</v>
      </c>
      <c r="O44" s="22">
        <f t="shared" si="7"/>
        <v>0</v>
      </c>
      <c r="P44" s="22">
        <f t="shared" si="7"/>
        <v>8227.76</v>
      </c>
      <c r="Q44" s="22">
        <f t="shared" si="7"/>
        <v>1065.52</v>
      </c>
      <c r="R44" s="22">
        <f t="shared" si="7"/>
        <v>0</v>
      </c>
      <c r="T44" s="33"/>
    </row>
    <row r="45" spans="1:18" ht="21" customHeight="1">
      <c r="A45" s="40"/>
      <c r="B45" s="44" t="s">
        <v>188</v>
      </c>
      <c r="C45" s="40"/>
      <c r="D45" s="44"/>
      <c r="E45" s="44"/>
      <c r="F45" s="44"/>
      <c r="G45" s="44"/>
      <c r="H45" s="22">
        <f aca="true" t="shared" si="8" ref="H45:R45">H24+H44</f>
        <v>571715.4799</v>
      </c>
      <c r="I45" s="22">
        <f t="shared" si="8"/>
        <v>129189.1599</v>
      </c>
      <c r="J45" s="22">
        <f t="shared" si="8"/>
        <v>0</v>
      </c>
      <c r="K45" s="22">
        <f t="shared" si="8"/>
        <v>0</v>
      </c>
      <c r="L45" s="22">
        <f t="shared" si="8"/>
        <v>607476.72</v>
      </c>
      <c r="M45" s="22">
        <f t="shared" si="8"/>
        <v>108595.60960000001</v>
      </c>
      <c r="N45" s="22">
        <f t="shared" si="8"/>
        <v>1762.2903000000001</v>
      </c>
      <c r="O45" s="22">
        <f t="shared" si="8"/>
        <v>0</v>
      </c>
      <c r="P45" s="22">
        <f t="shared" si="8"/>
        <v>11694.56</v>
      </c>
      <c r="Q45" s="22">
        <f t="shared" si="8"/>
        <v>7136.700000000001</v>
      </c>
      <c r="R45" s="22">
        <f t="shared" si="8"/>
        <v>0</v>
      </c>
    </row>
    <row r="47" ht="15">
      <c r="A47" s="32" t="s">
        <v>116</v>
      </c>
    </row>
    <row r="49" spans="1:6" ht="63.75" customHeight="1">
      <c r="A49" s="29" t="s">
        <v>123</v>
      </c>
      <c r="B49" s="29" t="s">
        <v>124</v>
      </c>
      <c r="C49" s="29" t="s">
        <v>119</v>
      </c>
      <c r="D49" s="29" t="s">
        <v>120</v>
      </c>
      <c r="E49" s="29" t="s">
        <v>121</v>
      </c>
      <c r="F49" s="29" t="s">
        <v>122</v>
      </c>
    </row>
    <row r="50" spans="1:6" ht="15">
      <c r="A50" s="52" t="s">
        <v>61</v>
      </c>
      <c r="B50" s="28" t="s">
        <v>117</v>
      </c>
      <c r="C50" s="53">
        <v>895.91</v>
      </c>
      <c r="D50" s="53">
        <v>169.43</v>
      </c>
      <c r="E50" s="53">
        <v>974.54</v>
      </c>
      <c r="F50" s="53">
        <f>C50+D50+E50</f>
        <v>2039.8799999999999</v>
      </c>
    </row>
    <row r="51" spans="1:6" ht="15">
      <c r="A51" s="52" t="s">
        <v>129</v>
      </c>
      <c r="B51" s="28" t="s">
        <v>118</v>
      </c>
      <c r="C51" s="53">
        <v>1071.2</v>
      </c>
      <c r="D51" s="53">
        <v>0</v>
      </c>
      <c r="E51" s="53">
        <v>0</v>
      </c>
      <c r="F51" s="53">
        <f>C51+D51+E51</f>
        <v>1071.2</v>
      </c>
    </row>
    <row r="52" spans="1:6" ht="30.75">
      <c r="A52" s="52" t="s">
        <v>130</v>
      </c>
      <c r="B52" s="28" t="s">
        <v>108</v>
      </c>
      <c r="C52" s="53">
        <v>579.03</v>
      </c>
      <c r="D52" s="53">
        <v>130.35</v>
      </c>
      <c r="E52" s="53">
        <v>0</v>
      </c>
      <c r="F52" s="53">
        <f>C52+D52+E52</f>
        <v>709.38</v>
      </c>
    </row>
    <row r="54" spans="1:8" ht="18">
      <c r="A54" s="56" t="s">
        <v>187</v>
      </c>
      <c r="H54" s="67"/>
    </row>
  </sheetData>
  <sheetProtection/>
  <mergeCells count="17">
    <mergeCell ref="R5:R6"/>
    <mergeCell ref="A7:R7"/>
    <mergeCell ref="E18:E21"/>
    <mergeCell ref="A5:A6"/>
    <mergeCell ref="B5:B6"/>
    <mergeCell ref="E36:E39"/>
    <mergeCell ref="I5:L5"/>
    <mergeCell ref="M5:M6"/>
    <mergeCell ref="N5:Q5"/>
    <mergeCell ref="A25:R25"/>
    <mergeCell ref="H5:H6"/>
    <mergeCell ref="E13:E14"/>
    <mergeCell ref="E9:E12"/>
    <mergeCell ref="E27:E31"/>
    <mergeCell ref="C5:C6"/>
    <mergeCell ref="D5:D6"/>
    <mergeCell ref="E5:G5"/>
  </mergeCells>
  <printOptions horizontalCentered="1"/>
  <pageMargins left="0.7" right="0.7" top="0.75" bottom="0.75" header="0.3" footer="0.3"/>
  <pageSetup fitToHeight="0" fitToWidth="1" horizontalDpi="600" verticalDpi="600" orientation="landscape" paperSize="8" scale="86" r:id="rId1"/>
  <rowBreaks count="1" manualBreakCount="1">
    <brk id="34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="60" zoomScaleNormal="70" zoomScalePageLayoutView="0" workbookViewId="0" topLeftCell="A16">
      <selection activeCell="I43" sqref="I43"/>
    </sheetView>
  </sheetViews>
  <sheetFormatPr defaultColWidth="9.00390625" defaultRowHeight="12.75"/>
  <cols>
    <col min="1" max="1" width="6.875" style="32" customWidth="1"/>
    <col min="2" max="2" width="31.00390625" style="32" customWidth="1"/>
    <col min="3" max="3" width="17.25390625" style="32" customWidth="1"/>
    <col min="4" max="4" width="16.375" style="32" customWidth="1"/>
    <col min="5" max="5" width="14.625" style="32" customWidth="1"/>
    <col min="6" max="6" width="14.00390625" style="32" customWidth="1"/>
    <col min="7" max="7" width="10.875" style="32" customWidth="1"/>
    <col min="8" max="8" width="17.25390625" style="32" customWidth="1"/>
    <col min="9" max="9" width="15.125" style="32" customWidth="1"/>
    <col min="10" max="10" width="5.75390625" style="32" hidden="1" customWidth="1"/>
    <col min="11" max="11" width="5.875" style="32" hidden="1" customWidth="1"/>
    <col min="12" max="12" width="15.25390625" style="32" customWidth="1"/>
    <col min="13" max="13" width="15.50390625" style="32" customWidth="1"/>
    <col min="14" max="14" width="11.875" style="32" customWidth="1"/>
    <col min="15" max="15" width="6.50390625" style="32" hidden="1" customWidth="1"/>
    <col min="16" max="16" width="14.125" style="32" customWidth="1"/>
    <col min="17" max="17" width="16.00390625" style="32" customWidth="1"/>
    <col min="18" max="18" width="7.50390625" style="32" customWidth="1"/>
    <col min="19" max="19" width="8.875" style="32" customWidth="1"/>
    <col min="20" max="20" width="9.50390625" style="32" customWidth="1"/>
    <col min="21" max="16384" width="8.875" style="32" customWidth="1"/>
  </cols>
  <sheetData>
    <row r="1" spans="1:8" s="55" customFormat="1" ht="17.25">
      <c r="A1" s="55" t="s">
        <v>223</v>
      </c>
      <c r="H1" s="66"/>
    </row>
    <row r="2" s="56" customFormat="1" ht="18">
      <c r="A2" s="56" t="s">
        <v>91</v>
      </c>
    </row>
    <row r="3" s="56" customFormat="1" ht="18">
      <c r="A3" s="56" t="s">
        <v>81</v>
      </c>
    </row>
    <row r="5" spans="1:18" ht="38.25" customHeight="1">
      <c r="A5" s="77" t="s">
        <v>0</v>
      </c>
      <c r="B5" s="83" t="s">
        <v>50</v>
      </c>
      <c r="C5" s="83" t="s">
        <v>33</v>
      </c>
      <c r="D5" s="83" t="s">
        <v>39</v>
      </c>
      <c r="E5" s="78" t="s">
        <v>1</v>
      </c>
      <c r="F5" s="79"/>
      <c r="G5" s="80"/>
      <c r="H5" s="81" t="s">
        <v>34</v>
      </c>
      <c r="I5" s="78" t="s">
        <v>5</v>
      </c>
      <c r="J5" s="79"/>
      <c r="K5" s="79"/>
      <c r="L5" s="80"/>
      <c r="M5" s="75" t="s">
        <v>20</v>
      </c>
      <c r="N5" s="78" t="s">
        <v>10</v>
      </c>
      <c r="O5" s="79"/>
      <c r="P5" s="79"/>
      <c r="Q5" s="80"/>
      <c r="R5" s="75" t="s">
        <v>11</v>
      </c>
    </row>
    <row r="6" spans="1:20" ht="93" customHeight="1">
      <c r="A6" s="77"/>
      <c r="B6" s="82"/>
      <c r="C6" s="82"/>
      <c r="D6" s="82"/>
      <c r="E6" s="34" t="s">
        <v>2</v>
      </c>
      <c r="F6" s="34" t="s">
        <v>3</v>
      </c>
      <c r="G6" s="34" t="s">
        <v>4</v>
      </c>
      <c r="H6" s="82"/>
      <c r="I6" s="34" t="s">
        <v>8</v>
      </c>
      <c r="J6" s="34" t="s">
        <v>6</v>
      </c>
      <c r="K6" s="34" t="s">
        <v>7</v>
      </c>
      <c r="L6" s="34" t="s">
        <v>9</v>
      </c>
      <c r="M6" s="76"/>
      <c r="N6" s="34" t="s">
        <v>12</v>
      </c>
      <c r="O6" s="34" t="s">
        <v>13</v>
      </c>
      <c r="P6" s="34" t="s">
        <v>14</v>
      </c>
      <c r="Q6" s="34" t="s">
        <v>15</v>
      </c>
      <c r="R6" s="76"/>
      <c r="T6" s="32" t="s">
        <v>71</v>
      </c>
    </row>
    <row r="7" spans="1:18" s="37" customFormat="1" ht="15">
      <c r="A7" s="84" t="s">
        <v>68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s="37" customFormat="1" ht="15">
      <c r="A8" s="38">
        <v>1</v>
      </c>
      <c r="B8" s="35" t="s">
        <v>69</v>
      </c>
      <c r="C8" s="35"/>
      <c r="D8" s="35"/>
      <c r="E8" s="35"/>
      <c r="F8" s="39"/>
      <c r="G8" s="39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1:18" ht="62.25" customHeight="1">
      <c r="A9" s="27" t="s">
        <v>54</v>
      </c>
      <c r="B9" s="28" t="s">
        <v>93</v>
      </c>
      <c r="C9" s="29" t="s">
        <v>146</v>
      </c>
      <c r="D9" s="30" t="s">
        <v>19</v>
      </c>
      <c r="E9" s="83" t="s">
        <v>150</v>
      </c>
      <c r="F9" s="31" t="s">
        <v>79</v>
      </c>
      <c r="G9" s="31" t="s">
        <v>48</v>
      </c>
      <c r="H9" s="18">
        <f>I9+L9</f>
        <v>1.6320000000000001</v>
      </c>
      <c r="I9" s="18">
        <f>1.6*0.02</f>
        <v>0.032</v>
      </c>
      <c r="J9" s="18"/>
      <c r="K9" s="18"/>
      <c r="L9" s="18">
        <v>1.6</v>
      </c>
      <c r="M9" s="18">
        <v>0.03</v>
      </c>
      <c r="N9" s="18"/>
      <c r="O9" s="18"/>
      <c r="P9" s="18"/>
      <c r="Q9" s="18"/>
      <c r="R9" s="18"/>
    </row>
    <row r="10" spans="1:18" ht="30.75">
      <c r="A10" s="27" t="s">
        <v>55</v>
      </c>
      <c r="B10" s="28" t="s">
        <v>93</v>
      </c>
      <c r="C10" s="29" t="s">
        <v>17</v>
      </c>
      <c r="D10" s="30" t="s">
        <v>19</v>
      </c>
      <c r="E10" s="87"/>
      <c r="F10" s="29" t="s">
        <v>18</v>
      </c>
      <c r="G10" s="31" t="s">
        <v>48</v>
      </c>
      <c r="H10" s="18">
        <f>I10+L10</f>
        <v>0.3</v>
      </c>
      <c r="I10" s="18">
        <v>0.3</v>
      </c>
      <c r="J10" s="18"/>
      <c r="K10" s="18"/>
      <c r="L10" s="18"/>
      <c r="M10" s="18"/>
      <c r="N10" s="18"/>
      <c r="O10" s="18"/>
      <c r="P10" s="18">
        <v>0.3</v>
      </c>
      <c r="Q10" s="18"/>
      <c r="R10" s="18"/>
    </row>
    <row r="11" spans="1:18" ht="15">
      <c r="A11" s="27" t="s">
        <v>56</v>
      </c>
      <c r="B11" s="28" t="s">
        <v>77</v>
      </c>
      <c r="C11" s="29" t="s">
        <v>46</v>
      </c>
      <c r="D11" s="30" t="s">
        <v>94</v>
      </c>
      <c r="E11" s="82"/>
      <c r="F11" s="29" t="s">
        <v>21</v>
      </c>
      <c r="G11" s="31" t="s">
        <v>48</v>
      </c>
      <c r="H11" s="18">
        <f>I11+L11</f>
        <v>6</v>
      </c>
      <c r="I11" s="18">
        <v>6</v>
      </c>
      <c r="J11" s="18"/>
      <c r="K11" s="18"/>
      <c r="L11" s="18"/>
      <c r="M11" s="18"/>
      <c r="N11" s="18"/>
      <c r="O11" s="18"/>
      <c r="P11" s="18">
        <v>6</v>
      </c>
      <c r="Q11" s="18"/>
      <c r="R11" s="18"/>
    </row>
    <row r="12" spans="1:18" ht="30.75">
      <c r="A12" s="27" t="s">
        <v>57</v>
      </c>
      <c r="B12" s="28" t="s">
        <v>52</v>
      </c>
      <c r="C12" s="29" t="s">
        <v>16</v>
      </c>
      <c r="D12" s="29" t="s">
        <v>156</v>
      </c>
      <c r="E12" s="29" t="s">
        <v>113</v>
      </c>
      <c r="F12" s="29" t="s">
        <v>112</v>
      </c>
      <c r="G12" s="31" t="s">
        <v>48</v>
      </c>
      <c r="H12" s="18">
        <f>I12+L12</f>
        <v>52.7696</v>
      </c>
      <c r="I12" s="18">
        <f>L12*0.0075*24</f>
        <v>8.0496</v>
      </c>
      <c r="J12" s="18"/>
      <c r="K12" s="18"/>
      <c r="L12" s="18">
        <v>44.72</v>
      </c>
      <c r="M12" s="18">
        <f>I12</f>
        <v>8.0496</v>
      </c>
      <c r="N12" s="18"/>
      <c r="O12" s="18"/>
      <c r="P12" s="18"/>
      <c r="Q12" s="18"/>
      <c r="R12" s="18"/>
    </row>
    <row r="13" spans="1:18" ht="15">
      <c r="A13" s="41"/>
      <c r="B13" s="42" t="s">
        <v>24</v>
      </c>
      <c r="C13" s="43"/>
      <c r="D13" s="44"/>
      <c r="E13" s="44"/>
      <c r="F13" s="44"/>
      <c r="G13" s="45"/>
      <c r="H13" s="22">
        <f aca="true" t="shared" si="0" ref="H13:Q13">SUM(H9:H12)</f>
        <v>60.7016</v>
      </c>
      <c r="I13" s="22">
        <f t="shared" si="0"/>
        <v>14.381599999999999</v>
      </c>
      <c r="J13" s="22">
        <f t="shared" si="0"/>
        <v>0</v>
      </c>
      <c r="K13" s="22">
        <f t="shared" si="0"/>
        <v>0</v>
      </c>
      <c r="L13" s="22">
        <f t="shared" si="0"/>
        <v>46.32</v>
      </c>
      <c r="M13" s="22">
        <f t="shared" si="0"/>
        <v>8.0796</v>
      </c>
      <c r="N13" s="22">
        <f t="shared" si="0"/>
        <v>0</v>
      </c>
      <c r="O13" s="22">
        <f t="shared" si="0"/>
        <v>0</v>
      </c>
      <c r="P13" s="22">
        <f t="shared" si="0"/>
        <v>6.3</v>
      </c>
      <c r="Q13" s="22">
        <f t="shared" si="0"/>
        <v>0</v>
      </c>
      <c r="R13" s="18"/>
    </row>
    <row r="14" spans="1:18" ht="15">
      <c r="A14" s="38">
        <v>2</v>
      </c>
      <c r="B14" s="47" t="s">
        <v>25</v>
      </c>
      <c r="C14" s="35"/>
      <c r="D14" s="35"/>
      <c r="E14" s="35"/>
      <c r="F14" s="39"/>
      <c r="G14" s="3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8"/>
    </row>
    <row r="15" spans="1:18" ht="15">
      <c r="A15" s="27" t="s">
        <v>63</v>
      </c>
      <c r="B15" s="28" t="s">
        <v>42</v>
      </c>
      <c r="C15" s="29" t="s">
        <v>27</v>
      </c>
      <c r="D15" s="29" t="s">
        <v>87</v>
      </c>
      <c r="E15" s="83" t="s">
        <v>29</v>
      </c>
      <c r="F15" s="29">
        <v>0.012</v>
      </c>
      <c r="G15" s="31" t="s">
        <v>48</v>
      </c>
      <c r="H15" s="18">
        <f>F15*1</f>
        <v>0.012</v>
      </c>
      <c r="I15" s="18">
        <f>H15</f>
        <v>0.012</v>
      </c>
      <c r="J15" s="18"/>
      <c r="K15" s="18"/>
      <c r="L15" s="18"/>
      <c r="M15" s="18"/>
      <c r="N15" s="18">
        <f>H15</f>
        <v>0.012</v>
      </c>
      <c r="O15" s="18"/>
      <c r="P15" s="18"/>
      <c r="Q15" s="18"/>
      <c r="R15" s="18"/>
    </row>
    <row r="16" spans="1:18" ht="35.25" customHeight="1">
      <c r="A16" s="27" t="s">
        <v>64</v>
      </c>
      <c r="B16" s="28" t="s">
        <v>43</v>
      </c>
      <c r="C16" s="29" t="s">
        <v>27</v>
      </c>
      <c r="D16" s="29" t="s">
        <v>92</v>
      </c>
      <c r="E16" s="87"/>
      <c r="F16" s="29">
        <v>0.025</v>
      </c>
      <c r="G16" s="31" t="s">
        <v>48</v>
      </c>
      <c r="H16" s="18">
        <f>F16*22</f>
        <v>0.55</v>
      </c>
      <c r="I16" s="18">
        <f>H16</f>
        <v>0.55</v>
      </c>
      <c r="J16" s="18"/>
      <c r="K16" s="18"/>
      <c r="L16" s="18"/>
      <c r="M16" s="18"/>
      <c r="N16" s="18">
        <f>H16</f>
        <v>0.55</v>
      </c>
      <c r="O16" s="18"/>
      <c r="P16" s="18"/>
      <c r="Q16" s="18"/>
      <c r="R16" s="22">
        <f>SUM(R9:R15)</f>
        <v>0</v>
      </c>
    </row>
    <row r="17" spans="1:18" ht="37.5" customHeight="1">
      <c r="A17" s="27" t="s">
        <v>65</v>
      </c>
      <c r="B17" s="28" t="s">
        <v>44</v>
      </c>
      <c r="C17" s="29" t="s">
        <v>27</v>
      </c>
      <c r="D17" s="29" t="s">
        <v>23</v>
      </c>
      <c r="E17" s="87"/>
      <c r="F17" s="29">
        <v>0.5</v>
      </c>
      <c r="G17" s="31" t="s">
        <v>48</v>
      </c>
      <c r="H17" s="18">
        <v>1</v>
      </c>
      <c r="I17" s="18">
        <f>H17</f>
        <v>1</v>
      </c>
      <c r="J17" s="18"/>
      <c r="K17" s="18"/>
      <c r="L17" s="18"/>
      <c r="M17" s="18"/>
      <c r="N17" s="18">
        <f>H17</f>
        <v>1</v>
      </c>
      <c r="O17" s="18"/>
      <c r="P17" s="18"/>
      <c r="Q17" s="18"/>
      <c r="R17" s="24"/>
    </row>
    <row r="18" spans="1:20" s="37" customFormat="1" ht="15.75" customHeight="1">
      <c r="A18" s="27" t="s">
        <v>66</v>
      </c>
      <c r="B18" s="28" t="s">
        <v>31</v>
      </c>
      <c r="C18" s="29" t="s">
        <v>27</v>
      </c>
      <c r="D18" s="29" t="s">
        <v>103</v>
      </c>
      <c r="E18" s="82"/>
      <c r="F18" s="29">
        <v>0.0005</v>
      </c>
      <c r="G18" s="31" t="s">
        <v>48</v>
      </c>
      <c r="H18" s="18">
        <f>F18*127.6</f>
        <v>0.0638</v>
      </c>
      <c r="I18" s="18">
        <f>H18</f>
        <v>0.0638</v>
      </c>
      <c r="J18" s="18"/>
      <c r="K18" s="18"/>
      <c r="L18" s="18"/>
      <c r="M18" s="18"/>
      <c r="N18" s="18">
        <f>H18</f>
        <v>0.0638</v>
      </c>
      <c r="O18" s="18"/>
      <c r="P18" s="18"/>
      <c r="Q18" s="18"/>
      <c r="R18" s="18"/>
      <c r="T18" s="46"/>
    </row>
    <row r="19" spans="1:18" s="37" customFormat="1" ht="15">
      <c r="A19" s="41"/>
      <c r="B19" s="42" t="s">
        <v>24</v>
      </c>
      <c r="C19" s="44"/>
      <c r="D19" s="44"/>
      <c r="E19" s="44"/>
      <c r="F19" s="44"/>
      <c r="G19" s="44"/>
      <c r="H19" s="22">
        <f>SUM(H15:H18)</f>
        <v>1.6258000000000001</v>
      </c>
      <c r="I19" s="22">
        <f>SUM(I15:K18)</f>
        <v>1.6258000000000001</v>
      </c>
      <c r="J19" s="22">
        <f aca="true" t="shared" si="1" ref="J19:Q19">SUM(J15:J18)</f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1.6258000000000001</v>
      </c>
      <c r="O19" s="22">
        <f t="shared" si="1"/>
        <v>0</v>
      </c>
      <c r="P19" s="22">
        <f t="shared" si="1"/>
        <v>0</v>
      </c>
      <c r="Q19" s="22">
        <f t="shared" si="1"/>
        <v>0</v>
      </c>
      <c r="R19" s="18"/>
    </row>
    <row r="20" spans="1:20" ht="17.25" customHeight="1">
      <c r="A20" s="40"/>
      <c r="B20" s="44" t="s">
        <v>67</v>
      </c>
      <c r="C20" s="40"/>
      <c r="D20" s="44"/>
      <c r="E20" s="44"/>
      <c r="F20" s="44"/>
      <c r="G20" s="44"/>
      <c r="H20" s="22">
        <f aca="true" t="shared" si="2" ref="H20:R20">H19+H13</f>
        <v>62.3274</v>
      </c>
      <c r="I20" s="22">
        <f t="shared" si="2"/>
        <v>16.0074</v>
      </c>
      <c r="J20" s="22">
        <f t="shared" si="2"/>
        <v>0</v>
      </c>
      <c r="K20" s="22">
        <f t="shared" si="2"/>
        <v>0</v>
      </c>
      <c r="L20" s="22">
        <f t="shared" si="2"/>
        <v>46.32</v>
      </c>
      <c r="M20" s="22">
        <f t="shared" si="2"/>
        <v>8.0796</v>
      </c>
      <c r="N20" s="22">
        <f t="shared" si="2"/>
        <v>1.6258000000000001</v>
      </c>
      <c r="O20" s="22">
        <f t="shared" si="2"/>
        <v>0</v>
      </c>
      <c r="P20" s="22">
        <f t="shared" si="2"/>
        <v>6.3</v>
      </c>
      <c r="Q20" s="22">
        <f t="shared" si="2"/>
        <v>0</v>
      </c>
      <c r="R20" s="22">
        <f t="shared" si="2"/>
        <v>0</v>
      </c>
      <c r="T20" s="33">
        <f>(N20+P20+Q20)*100/I20</f>
        <v>49.51335007559003</v>
      </c>
    </row>
    <row r="21" spans="1:20" ht="15.75" customHeight="1">
      <c r="A21" s="40"/>
      <c r="B21" s="44" t="s">
        <v>109</v>
      </c>
      <c r="C21" s="40"/>
      <c r="D21" s="44"/>
      <c r="E21" s="44"/>
      <c r="F21" s="44"/>
      <c r="G21" s="44"/>
      <c r="H21" s="22">
        <f>H20*214</f>
        <v>13338.0636</v>
      </c>
      <c r="I21" s="22">
        <f aca="true" t="shared" si="3" ref="I21:R21">I20*214</f>
        <v>3425.5836</v>
      </c>
      <c r="J21" s="22">
        <f t="shared" si="3"/>
        <v>0</v>
      </c>
      <c r="K21" s="22">
        <f t="shared" si="3"/>
        <v>0</v>
      </c>
      <c r="L21" s="22">
        <f t="shared" si="3"/>
        <v>9912.48</v>
      </c>
      <c r="M21" s="22">
        <f t="shared" si="3"/>
        <v>1729.0343999999998</v>
      </c>
      <c r="N21" s="22">
        <f t="shared" si="3"/>
        <v>347.92120000000006</v>
      </c>
      <c r="O21" s="22">
        <f t="shared" si="3"/>
        <v>0</v>
      </c>
      <c r="P21" s="22">
        <f t="shared" si="3"/>
        <v>1348.2</v>
      </c>
      <c r="Q21" s="22">
        <f t="shared" si="3"/>
        <v>0</v>
      </c>
      <c r="R21" s="22">
        <f t="shared" si="3"/>
        <v>0</v>
      </c>
      <c r="T21" s="33"/>
    </row>
    <row r="22" spans="1:20" ht="15.75" customHeight="1">
      <c r="A22" s="84" t="s">
        <v>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  <c r="T22" s="48"/>
    </row>
    <row r="23" spans="1:20" ht="15.75" customHeight="1">
      <c r="A23" s="38">
        <v>1</v>
      </c>
      <c r="B23" s="35" t="s">
        <v>69</v>
      </c>
      <c r="C23" s="35"/>
      <c r="D23" s="35"/>
      <c r="E23" s="35"/>
      <c r="F23" s="39"/>
      <c r="G23" s="3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2">
        <f>SUM(R18:R22)</f>
        <v>0</v>
      </c>
      <c r="T23" s="48"/>
    </row>
    <row r="24" spans="1:20" ht="15.75" customHeight="1">
      <c r="A24" s="27" t="s">
        <v>54</v>
      </c>
      <c r="B24" s="28" t="s">
        <v>93</v>
      </c>
      <c r="C24" s="29" t="s">
        <v>146</v>
      </c>
      <c r="D24" s="30" t="s">
        <v>49</v>
      </c>
      <c r="E24" s="83" t="s">
        <v>150</v>
      </c>
      <c r="F24" s="31" t="s">
        <v>79</v>
      </c>
      <c r="G24" s="31" t="s">
        <v>48</v>
      </c>
      <c r="H24" s="18">
        <f>I24+L24</f>
        <v>0.5439333333333334</v>
      </c>
      <c r="I24" s="18">
        <f>0.53*0.02</f>
        <v>0.0106</v>
      </c>
      <c r="J24" s="18"/>
      <c r="K24" s="18"/>
      <c r="L24" s="18">
        <f>1.6/3</f>
        <v>0.5333333333333333</v>
      </c>
      <c r="M24" s="18">
        <f>I24</f>
        <v>0.0106</v>
      </c>
      <c r="N24" s="18"/>
      <c r="O24" s="18"/>
      <c r="P24" s="18"/>
      <c r="Q24" s="18"/>
      <c r="R24" s="22">
        <f>R23+R16</f>
        <v>0</v>
      </c>
      <c r="T24" s="33"/>
    </row>
    <row r="25" spans="1:20" s="37" customFormat="1" ht="33" customHeight="1">
      <c r="A25" s="27" t="s">
        <v>55</v>
      </c>
      <c r="B25" s="28" t="s">
        <v>93</v>
      </c>
      <c r="C25" s="29" t="s">
        <v>17</v>
      </c>
      <c r="D25" s="30" t="s">
        <v>49</v>
      </c>
      <c r="E25" s="87"/>
      <c r="F25" s="29" t="s">
        <v>18</v>
      </c>
      <c r="G25" s="31" t="s">
        <v>48</v>
      </c>
      <c r="H25" s="18">
        <f>I25+L25</f>
        <v>0.1</v>
      </c>
      <c r="I25" s="18">
        <v>0.1</v>
      </c>
      <c r="J25" s="18"/>
      <c r="K25" s="18"/>
      <c r="L25" s="18"/>
      <c r="M25" s="18"/>
      <c r="N25" s="18"/>
      <c r="O25" s="18"/>
      <c r="P25" s="18">
        <v>0.1</v>
      </c>
      <c r="Q25" s="18"/>
      <c r="R25" s="36"/>
      <c r="T25" s="33"/>
    </row>
    <row r="26" spans="1:20" ht="31.5" customHeight="1">
      <c r="A26" s="27" t="s">
        <v>56</v>
      </c>
      <c r="B26" s="28" t="s">
        <v>77</v>
      </c>
      <c r="C26" s="29" t="s">
        <v>46</v>
      </c>
      <c r="D26" s="30" t="s">
        <v>35</v>
      </c>
      <c r="E26" s="82"/>
      <c r="F26" s="29" t="s">
        <v>21</v>
      </c>
      <c r="G26" s="31" t="s">
        <v>48</v>
      </c>
      <c r="H26" s="18">
        <f>I26+L26</f>
        <v>2</v>
      </c>
      <c r="I26" s="18">
        <v>2</v>
      </c>
      <c r="J26" s="18"/>
      <c r="K26" s="18"/>
      <c r="L26" s="18"/>
      <c r="M26" s="18"/>
      <c r="N26" s="18"/>
      <c r="O26" s="18"/>
      <c r="P26" s="18">
        <v>2</v>
      </c>
      <c r="Q26" s="18"/>
      <c r="R26" s="36"/>
      <c r="T26" s="33"/>
    </row>
    <row r="27" spans="1:20" s="37" customFormat="1" ht="15">
      <c r="A27" s="41"/>
      <c r="B27" s="42" t="s">
        <v>24</v>
      </c>
      <c r="C27" s="43"/>
      <c r="D27" s="44"/>
      <c r="E27" s="44"/>
      <c r="F27" s="44"/>
      <c r="G27" s="45"/>
      <c r="H27" s="22">
        <f aca="true" t="shared" si="4" ref="H27:Q27">SUM(H24:H26)</f>
        <v>2.6439333333333335</v>
      </c>
      <c r="I27" s="22">
        <f t="shared" si="4"/>
        <v>2.1106</v>
      </c>
      <c r="J27" s="22">
        <f t="shared" si="4"/>
        <v>0</v>
      </c>
      <c r="K27" s="22">
        <f t="shared" si="4"/>
        <v>0</v>
      </c>
      <c r="L27" s="22">
        <f t="shared" si="4"/>
        <v>0.5333333333333333</v>
      </c>
      <c r="M27" s="22">
        <f t="shared" si="4"/>
        <v>0.0106</v>
      </c>
      <c r="N27" s="22">
        <f t="shared" si="4"/>
        <v>0</v>
      </c>
      <c r="O27" s="22">
        <f t="shared" si="4"/>
        <v>0</v>
      </c>
      <c r="P27" s="22">
        <f t="shared" si="4"/>
        <v>2.1</v>
      </c>
      <c r="Q27" s="22">
        <f t="shared" si="4"/>
        <v>0</v>
      </c>
      <c r="R27" s="18"/>
      <c r="T27" s="33"/>
    </row>
    <row r="28" spans="1:20" ht="15">
      <c r="A28" s="38">
        <v>2</v>
      </c>
      <c r="B28" s="47" t="s">
        <v>25</v>
      </c>
      <c r="C28" s="35"/>
      <c r="D28" s="35"/>
      <c r="E28" s="35"/>
      <c r="F28" s="39"/>
      <c r="G28" s="39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8"/>
      <c r="T28" s="33"/>
    </row>
    <row r="29" spans="1:20" ht="15" customHeight="1">
      <c r="A29" s="27" t="s">
        <v>63</v>
      </c>
      <c r="B29" s="28" t="s">
        <v>26</v>
      </c>
      <c r="C29" s="29" t="s">
        <v>27</v>
      </c>
      <c r="D29" s="29" t="s">
        <v>87</v>
      </c>
      <c r="E29" s="83" t="s">
        <v>29</v>
      </c>
      <c r="F29" s="29">
        <v>0.012</v>
      </c>
      <c r="G29" s="31" t="s">
        <v>48</v>
      </c>
      <c r="H29" s="18">
        <f>F29*1</f>
        <v>0.012</v>
      </c>
      <c r="I29" s="18">
        <f>H29</f>
        <v>0.012</v>
      </c>
      <c r="J29" s="18"/>
      <c r="K29" s="18"/>
      <c r="L29" s="18"/>
      <c r="M29" s="18"/>
      <c r="N29" s="18">
        <f>H29</f>
        <v>0.012</v>
      </c>
      <c r="O29" s="18"/>
      <c r="P29" s="18"/>
      <c r="Q29" s="18"/>
      <c r="R29" s="18"/>
      <c r="T29" s="33"/>
    </row>
    <row r="30" spans="1:20" ht="15">
      <c r="A30" s="27" t="s">
        <v>64</v>
      </c>
      <c r="B30" s="28" t="s">
        <v>28</v>
      </c>
      <c r="C30" s="29" t="s">
        <v>27</v>
      </c>
      <c r="D30" s="29" t="s">
        <v>92</v>
      </c>
      <c r="E30" s="87"/>
      <c r="F30" s="29">
        <v>0.025</v>
      </c>
      <c r="G30" s="31" t="s">
        <v>48</v>
      </c>
      <c r="H30" s="18">
        <f>F30*22</f>
        <v>0.55</v>
      </c>
      <c r="I30" s="18">
        <f>H30</f>
        <v>0.55</v>
      </c>
      <c r="J30" s="18"/>
      <c r="K30" s="18"/>
      <c r="L30" s="18"/>
      <c r="M30" s="18"/>
      <c r="N30" s="18">
        <f>H30</f>
        <v>0.55</v>
      </c>
      <c r="O30" s="18"/>
      <c r="P30" s="18"/>
      <c r="Q30" s="18"/>
      <c r="R30" s="18"/>
      <c r="T30" s="33"/>
    </row>
    <row r="31" spans="1:20" ht="15">
      <c r="A31" s="27" t="s">
        <v>65</v>
      </c>
      <c r="B31" s="28" t="s">
        <v>30</v>
      </c>
      <c r="C31" s="29" t="s">
        <v>27</v>
      </c>
      <c r="D31" s="29" t="s">
        <v>23</v>
      </c>
      <c r="E31" s="87"/>
      <c r="F31" s="29">
        <v>0.5</v>
      </c>
      <c r="G31" s="31" t="s">
        <v>48</v>
      </c>
      <c r="H31" s="18">
        <v>1</v>
      </c>
      <c r="I31" s="18">
        <f>H31</f>
        <v>1</v>
      </c>
      <c r="J31" s="18"/>
      <c r="K31" s="18"/>
      <c r="L31" s="18"/>
      <c r="M31" s="18"/>
      <c r="N31" s="18">
        <f>H31</f>
        <v>1</v>
      </c>
      <c r="O31" s="18"/>
      <c r="P31" s="18"/>
      <c r="Q31" s="18"/>
      <c r="R31" s="18"/>
      <c r="T31" s="48"/>
    </row>
    <row r="32" spans="1:20" ht="15">
      <c r="A32" s="27" t="s">
        <v>66</v>
      </c>
      <c r="B32" s="28" t="s">
        <v>31</v>
      </c>
      <c r="C32" s="29" t="s">
        <v>27</v>
      </c>
      <c r="D32" s="29" t="s">
        <v>103</v>
      </c>
      <c r="E32" s="82"/>
      <c r="F32" s="29">
        <v>0.0005</v>
      </c>
      <c r="G32" s="31" t="s">
        <v>48</v>
      </c>
      <c r="H32" s="18">
        <f>F32*127.6</f>
        <v>0.0638</v>
      </c>
      <c r="I32" s="18">
        <f>H32</f>
        <v>0.0638</v>
      </c>
      <c r="J32" s="18"/>
      <c r="K32" s="18"/>
      <c r="L32" s="18"/>
      <c r="M32" s="18"/>
      <c r="N32" s="18">
        <f>H32</f>
        <v>0.0638</v>
      </c>
      <c r="O32" s="18"/>
      <c r="P32" s="18"/>
      <c r="Q32" s="18"/>
      <c r="R32" s="18"/>
      <c r="T32" s="48"/>
    </row>
    <row r="33" spans="1:20" ht="15">
      <c r="A33" s="41"/>
      <c r="B33" s="42" t="s">
        <v>24</v>
      </c>
      <c r="C33" s="43"/>
      <c r="D33" s="44"/>
      <c r="E33" s="44"/>
      <c r="F33" s="44"/>
      <c r="G33" s="45"/>
      <c r="H33" s="22">
        <f>SUM(H29:H32)</f>
        <v>1.6258000000000001</v>
      </c>
      <c r="I33" s="22">
        <f aca="true" t="shared" si="5" ref="I33:Q33">SUM(I29:I32)</f>
        <v>1.6258000000000001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1.6258000000000001</v>
      </c>
      <c r="O33" s="22">
        <f t="shared" si="5"/>
        <v>0</v>
      </c>
      <c r="P33" s="22">
        <f t="shared" si="5"/>
        <v>0</v>
      </c>
      <c r="Q33" s="22">
        <f t="shared" si="5"/>
        <v>0</v>
      </c>
      <c r="R33" s="18"/>
      <c r="T33" s="33"/>
    </row>
    <row r="34" spans="1:20" s="37" customFormat="1" ht="15">
      <c r="A34" s="38">
        <v>3</v>
      </c>
      <c r="B34" s="47" t="s">
        <v>128</v>
      </c>
      <c r="C34" s="35"/>
      <c r="D34" s="35"/>
      <c r="E34" s="35"/>
      <c r="F34" s="39"/>
      <c r="G34" s="39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T34" s="48"/>
    </row>
    <row r="35" spans="1:20" ht="46.5">
      <c r="A35" s="27" t="s">
        <v>110</v>
      </c>
      <c r="B35" s="28" t="s">
        <v>52</v>
      </c>
      <c r="C35" s="29" t="s">
        <v>72</v>
      </c>
      <c r="D35" s="30" t="s">
        <v>230</v>
      </c>
      <c r="E35" s="29" t="s">
        <v>111</v>
      </c>
      <c r="F35" s="30" t="s">
        <v>114</v>
      </c>
      <c r="G35" s="31" t="s">
        <v>48</v>
      </c>
      <c r="H35" s="18"/>
      <c r="I35" s="18">
        <f>31.46/152</f>
        <v>0.2069736842105263</v>
      </c>
      <c r="J35" s="18"/>
      <c r="K35" s="18"/>
      <c r="L35" s="18"/>
      <c r="M35" s="18">
        <v>0</v>
      </c>
      <c r="N35" s="18"/>
      <c r="O35" s="18"/>
      <c r="P35" s="18">
        <f>I35</f>
        <v>0.2069736842105263</v>
      </c>
      <c r="Q35" s="18"/>
      <c r="R35" s="18"/>
      <c r="T35" s="33"/>
    </row>
    <row r="36" spans="1:20" ht="15">
      <c r="A36" s="40"/>
      <c r="B36" s="44" t="s">
        <v>97</v>
      </c>
      <c r="C36" s="40"/>
      <c r="D36" s="44"/>
      <c r="E36" s="44"/>
      <c r="F36" s="44"/>
      <c r="G36" s="44"/>
      <c r="H36" s="22">
        <f>I36</f>
        <v>3.943373684210526</v>
      </c>
      <c r="I36" s="22">
        <f>I27+I33+I35</f>
        <v>3.943373684210526</v>
      </c>
      <c r="J36" s="22">
        <f aca="true" t="shared" si="6" ref="J36:R36">J27+J33+J35</f>
        <v>0</v>
      </c>
      <c r="K36" s="22">
        <f t="shared" si="6"/>
        <v>0</v>
      </c>
      <c r="L36" s="22">
        <f t="shared" si="6"/>
        <v>0.5333333333333333</v>
      </c>
      <c r="M36" s="22">
        <f t="shared" si="6"/>
        <v>0.0106</v>
      </c>
      <c r="N36" s="22">
        <f t="shared" si="6"/>
        <v>1.6258000000000001</v>
      </c>
      <c r="O36" s="22">
        <f t="shared" si="6"/>
        <v>0</v>
      </c>
      <c r="P36" s="22">
        <f t="shared" si="6"/>
        <v>2.3069736842105266</v>
      </c>
      <c r="Q36" s="22">
        <f t="shared" si="6"/>
        <v>0</v>
      </c>
      <c r="R36" s="22">
        <f t="shared" si="6"/>
        <v>0</v>
      </c>
      <c r="T36" s="33">
        <f>(N36+P36+Q36)*100/I36</f>
        <v>99.73119463563795</v>
      </c>
    </row>
    <row r="37" spans="1:20" ht="15">
      <c r="A37" s="40"/>
      <c r="B37" s="44" t="s">
        <v>115</v>
      </c>
      <c r="C37" s="40"/>
      <c r="D37" s="44"/>
      <c r="E37" s="44"/>
      <c r="F37" s="44"/>
      <c r="G37" s="44"/>
      <c r="H37" s="22">
        <f>H36*152</f>
        <v>599.3928</v>
      </c>
      <c r="I37" s="22">
        <f>I36*152</f>
        <v>599.3928</v>
      </c>
      <c r="J37" s="22">
        <f aca="true" t="shared" si="7" ref="J37:R37">J36*152</f>
        <v>0</v>
      </c>
      <c r="K37" s="22">
        <f t="shared" si="7"/>
        <v>0</v>
      </c>
      <c r="L37" s="22">
        <f t="shared" si="7"/>
        <v>81.06666666666666</v>
      </c>
      <c r="M37" s="22">
        <f t="shared" si="7"/>
        <v>1.6112</v>
      </c>
      <c r="N37" s="22">
        <f t="shared" si="7"/>
        <v>247.12160000000003</v>
      </c>
      <c r="O37" s="22">
        <f t="shared" si="7"/>
        <v>0</v>
      </c>
      <c r="P37" s="22">
        <f t="shared" si="7"/>
        <v>350.66</v>
      </c>
      <c r="Q37" s="22">
        <f t="shared" si="7"/>
        <v>0</v>
      </c>
      <c r="R37" s="22">
        <f t="shared" si="7"/>
        <v>0</v>
      </c>
      <c r="T37" s="33"/>
    </row>
    <row r="38" spans="1:18" ht="16.5" customHeight="1">
      <c r="A38" s="40"/>
      <c r="B38" s="44" t="s">
        <v>188</v>
      </c>
      <c r="C38" s="40"/>
      <c r="D38" s="44"/>
      <c r="E38" s="44"/>
      <c r="F38" s="44"/>
      <c r="G38" s="44"/>
      <c r="H38" s="22">
        <f>H21+H37</f>
        <v>13937.4564</v>
      </c>
      <c r="I38" s="22">
        <f>I21+I37</f>
        <v>4024.9764</v>
      </c>
      <c r="J38" s="22">
        <f aca="true" t="shared" si="8" ref="J38:Q38">J21+J37</f>
        <v>0</v>
      </c>
      <c r="K38" s="22">
        <f t="shared" si="8"/>
        <v>0</v>
      </c>
      <c r="L38" s="22">
        <f t="shared" si="8"/>
        <v>9993.546666666667</v>
      </c>
      <c r="M38" s="22">
        <f t="shared" si="8"/>
        <v>1730.6455999999998</v>
      </c>
      <c r="N38" s="22">
        <f t="shared" si="8"/>
        <v>595.0428</v>
      </c>
      <c r="O38" s="22">
        <f t="shared" si="8"/>
        <v>0</v>
      </c>
      <c r="P38" s="22">
        <f t="shared" si="8"/>
        <v>1698.8600000000001</v>
      </c>
      <c r="Q38" s="22">
        <f t="shared" si="8"/>
        <v>0</v>
      </c>
      <c r="R38" s="22">
        <f>R21+R37</f>
        <v>0</v>
      </c>
    </row>
    <row r="40" spans="1:6" ht="63.75" customHeight="1">
      <c r="A40" s="29" t="s">
        <v>123</v>
      </c>
      <c r="B40" s="29" t="s">
        <v>124</v>
      </c>
      <c r="C40" s="29" t="s">
        <v>119</v>
      </c>
      <c r="D40" s="29" t="s">
        <v>120</v>
      </c>
      <c r="E40" s="29" t="s">
        <v>121</v>
      </c>
      <c r="F40" s="29" t="s">
        <v>122</v>
      </c>
    </row>
    <row r="41" spans="1:6" ht="15">
      <c r="A41" s="52" t="s">
        <v>60</v>
      </c>
      <c r="B41" s="28" t="s">
        <v>117</v>
      </c>
      <c r="C41" s="53">
        <v>0</v>
      </c>
      <c r="D41" s="53">
        <v>15.73</v>
      </c>
      <c r="E41" s="53">
        <v>28.99</v>
      </c>
      <c r="F41" s="53">
        <f>C41+D41+E41</f>
        <v>44.72</v>
      </c>
    </row>
    <row r="42" spans="1:6" ht="15">
      <c r="A42" s="52" t="s">
        <v>129</v>
      </c>
      <c r="B42" s="28" t="s">
        <v>118</v>
      </c>
      <c r="C42" s="53">
        <v>0</v>
      </c>
      <c r="D42" s="53">
        <v>0</v>
      </c>
      <c r="E42" s="53">
        <v>0</v>
      </c>
      <c r="F42" s="53">
        <f>C42+D42+E42</f>
        <v>0</v>
      </c>
    </row>
    <row r="43" spans="1:6" ht="30.75">
      <c r="A43" s="52" t="s">
        <v>130</v>
      </c>
      <c r="B43" s="28" t="s">
        <v>108</v>
      </c>
      <c r="C43" s="53">
        <v>0</v>
      </c>
      <c r="D43" s="53">
        <v>15.73</v>
      </c>
      <c r="E43" s="53">
        <v>0</v>
      </c>
      <c r="F43" s="53">
        <f>C43+D43+E43</f>
        <v>15.73</v>
      </c>
    </row>
    <row r="45" spans="1:8" ht="18">
      <c r="A45" s="56" t="s">
        <v>187</v>
      </c>
      <c r="H45" s="67"/>
    </row>
  </sheetData>
  <sheetProtection/>
  <mergeCells count="16">
    <mergeCell ref="M5:M6"/>
    <mergeCell ref="A22:R22"/>
    <mergeCell ref="N5:Q5"/>
    <mergeCell ref="R5:R6"/>
    <mergeCell ref="A7:R7"/>
    <mergeCell ref="E15:E18"/>
    <mergeCell ref="A5:A6"/>
    <mergeCell ref="B5:B6"/>
    <mergeCell ref="E9:E11"/>
    <mergeCell ref="C5:C6"/>
    <mergeCell ref="H5:H6"/>
    <mergeCell ref="E29:E32"/>
    <mergeCell ref="E24:E26"/>
    <mergeCell ref="I5:L5"/>
    <mergeCell ref="D5:D6"/>
    <mergeCell ref="E5:G5"/>
  </mergeCells>
  <printOptions horizontalCentered="1"/>
  <pageMargins left="0.7" right="0.7" top="0.75" bottom="0.75" header="0.3" footer="0.3"/>
  <pageSetup fitToHeight="0" fitToWidth="1" horizontalDpi="600" verticalDpi="600" orientation="landscape" paperSize="8" scale="88" r:id="rId1"/>
  <rowBreaks count="1" manualBreakCount="1">
    <brk id="3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6.875" style="1" customWidth="1"/>
    <col min="2" max="2" width="31.00390625" style="1" customWidth="1"/>
    <col min="3" max="3" width="16.00390625" style="1" customWidth="1"/>
    <col min="4" max="4" width="10.50390625" style="1" customWidth="1"/>
    <col min="5" max="5" width="13.50390625" style="1" customWidth="1"/>
    <col min="6" max="6" width="10.50390625" style="1" customWidth="1"/>
    <col min="7" max="7" width="10.875" style="1" customWidth="1"/>
    <col min="8" max="8" width="17.25390625" style="1" customWidth="1"/>
    <col min="9" max="9" width="15.125" style="1" customWidth="1"/>
    <col min="10" max="10" width="5.75390625" style="1" hidden="1" customWidth="1"/>
    <col min="11" max="11" width="5.875" style="1" hidden="1" customWidth="1"/>
    <col min="12" max="12" width="15.25390625" style="1" customWidth="1"/>
    <col min="13" max="13" width="15.50390625" style="1" customWidth="1"/>
    <col min="14" max="14" width="11.875" style="1" customWidth="1"/>
    <col min="15" max="15" width="6.50390625" style="1" hidden="1" customWidth="1"/>
    <col min="16" max="16" width="14.125" style="1" customWidth="1"/>
    <col min="17" max="17" width="16.00390625" style="1" customWidth="1"/>
    <col min="18" max="18" width="7.50390625" style="1" customWidth="1"/>
    <col min="19" max="19" width="8.875" style="1" customWidth="1"/>
    <col min="20" max="20" width="9.50390625" style="1" customWidth="1"/>
    <col min="21" max="16384" width="8.875" style="1" customWidth="1"/>
  </cols>
  <sheetData>
    <row r="1" spans="1:8" s="55" customFormat="1" ht="17.25">
      <c r="A1" s="55" t="s">
        <v>222</v>
      </c>
      <c r="H1" s="66"/>
    </row>
    <row r="2" s="58" customFormat="1" ht="18">
      <c r="A2" s="58" t="s">
        <v>95</v>
      </c>
    </row>
    <row r="3" s="58" customFormat="1" ht="18">
      <c r="A3" s="58" t="s">
        <v>81</v>
      </c>
    </row>
    <row r="5" spans="1:18" ht="38.25" customHeight="1">
      <c r="A5" s="94" t="s">
        <v>0</v>
      </c>
      <c r="B5" s="92" t="s">
        <v>50</v>
      </c>
      <c r="C5" s="92" t="s">
        <v>33</v>
      </c>
      <c r="D5" s="92" t="s">
        <v>39</v>
      </c>
      <c r="E5" s="95" t="s">
        <v>1</v>
      </c>
      <c r="F5" s="96"/>
      <c r="G5" s="97"/>
      <c r="H5" s="90" t="s">
        <v>34</v>
      </c>
      <c r="I5" s="95" t="s">
        <v>5</v>
      </c>
      <c r="J5" s="96"/>
      <c r="K5" s="96"/>
      <c r="L5" s="97"/>
      <c r="M5" s="88" t="s">
        <v>20</v>
      </c>
      <c r="N5" s="95" t="s">
        <v>10</v>
      </c>
      <c r="O5" s="96"/>
      <c r="P5" s="96"/>
      <c r="Q5" s="97"/>
      <c r="R5" s="88" t="s">
        <v>11</v>
      </c>
    </row>
    <row r="6" spans="1:20" ht="93" customHeight="1">
      <c r="A6" s="94"/>
      <c r="B6" s="91"/>
      <c r="C6" s="91"/>
      <c r="D6" s="91"/>
      <c r="E6" s="4" t="s">
        <v>2</v>
      </c>
      <c r="F6" s="4" t="s">
        <v>3</v>
      </c>
      <c r="G6" s="4" t="s">
        <v>4</v>
      </c>
      <c r="H6" s="91"/>
      <c r="I6" s="4" t="s">
        <v>8</v>
      </c>
      <c r="J6" s="4" t="s">
        <v>6</v>
      </c>
      <c r="K6" s="4" t="s">
        <v>7</v>
      </c>
      <c r="L6" s="4" t="s">
        <v>9</v>
      </c>
      <c r="M6" s="89"/>
      <c r="N6" s="4" t="s">
        <v>12</v>
      </c>
      <c r="O6" s="4" t="s">
        <v>13</v>
      </c>
      <c r="P6" s="4" t="s">
        <v>14</v>
      </c>
      <c r="Q6" s="4" t="s">
        <v>15</v>
      </c>
      <c r="R6" s="89"/>
      <c r="T6" s="1" t="s">
        <v>71</v>
      </c>
    </row>
    <row r="7" spans="1:18" s="37" customFormat="1" ht="15">
      <c r="A7" s="84" t="s">
        <v>68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ht="15">
      <c r="A8" s="12">
        <v>1</v>
      </c>
      <c r="B8" s="16" t="s">
        <v>25</v>
      </c>
      <c r="C8" s="10"/>
      <c r="D8" s="10"/>
      <c r="E8" s="10"/>
      <c r="F8" s="11"/>
      <c r="G8" s="11"/>
      <c r="H8" s="23"/>
      <c r="I8" s="23"/>
      <c r="J8" s="23"/>
      <c r="K8" s="23"/>
      <c r="L8" s="23"/>
      <c r="M8" s="23"/>
      <c r="N8" s="23"/>
      <c r="O8" s="23"/>
      <c r="P8" s="23"/>
      <c r="Q8" s="23"/>
      <c r="R8" s="18"/>
    </row>
    <row r="9" spans="1:18" ht="15">
      <c r="A9" s="13" t="s">
        <v>54</v>
      </c>
      <c r="B9" s="6" t="s">
        <v>42</v>
      </c>
      <c r="C9" s="2" t="s">
        <v>27</v>
      </c>
      <c r="D9" s="2" t="s">
        <v>171</v>
      </c>
      <c r="E9" s="92" t="s">
        <v>29</v>
      </c>
      <c r="F9" s="2">
        <v>0.012</v>
      </c>
      <c r="G9" s="3" t="s">
        <v>48</v>
      </c>
      <c r="H9" s="18">
        <f>F9*60</f>
        <v>0.72</v>
      </c>
      <c r="I9" s="18">
        <f>H9</f>
        <v>0.72</v>
      </c>
      <c r="J9" s="18"/>
      <c r="K9" s="18"/>
      <c r="L9" s="18"/>
      <c r="M9" s="18"/>
      <c r="N9" s="18">
        <f>H9</f>
        <v>0.72</v>
      </c>
      <c r="O9" s="18"/>
      <c r="P9" s="18"/>
      <c r="Q9" s="18"/>
      <c r="R9" s="18"/>
    </row>
    <row r="10" spans="1:18" ht="15">
      <c r="A10" s="13" t="s">
        <v>55</v>
      </c>
      <c r="B10" s="6" t="s">
        <v>43</v>
      </c>
      <c r="C10" s="2" t="s">
        <v>27</v>
      </c>
      <c r="D10" s="2" t="s">
        <v>168</v>
      </c>
      <c r="E10" s="93"/>
      <c r="F10" s="2">
        <v>0.025</v>
      </c>
      <c r="G10" s="3" t="s">
        <v>48</v>
      </c>
      <c r="H10" s="18">
        <f>F10*5</f>
        <v>0.125</v>
      </c>
      <c r="I10" s="18">
        <f>H10</f>
        <v>0.125</v>
      </c>
      <c r="J10" s="18"/>
      <c r="K10" s="18"/>
      <c r="L10" s="18"/>
      <c r="M10" s="18"/>
      <c r="N10" s="18">
        <f>H10</f>
        <v>0.125</v>
      </c>
      <c r="O10" s="18"/>
      <c r="P10" s="18"/>
      <c r="Q10" s="18"/>
      <c r="R10" s="22">
        <f>SUM(R8:R9)</f>
        <v>0</v>
      </c>
    </row>
    <row r="11" spans="1:18" ht="15">
      <c r="A11" s="13" t="s">
        <v>56</v>
      </c>
      <c r="B11" s="6" t="s">
        <v>44</v>
      </c>
      <c r="C11" s="2" t="s">
        <v>27</v>
      </c>
      <c r="D11" s="7" t="s">
        <v>170</v>
      </c>
      <c r="E11" s="93"/>
      <c r="F11" s="2">
        <v>0.5</v>
      </c>
      <c r="G11" s="3" t="s">
        <v>48</v>
      </c>
      <c r="H11" s="18">
        <v>2</v>
      </c>
      <c r="I11" s="18">
        <f>H11</f>
        <v>2</v>
      </c>
      <c r="J11" s="18"/>
      <c r="K11" s="18"/>
      <c r="L11" s="18"/>
      <c r="M11" s="18"/>
      <c r="N11" s="18">
        <f>H11</f>
        <v>2</v>
      </c>
      <c r="O11" s="18"/>
      <c r="P11" s="18"/>
      <c r="Q11" s="18"/>
      <c r="R11" s="24"/>
    </row>
    <row r="12" spans="1:20" s="9" customFormat="1" ht="15.75" customHeight="1">
      <c r="A12" s="13" t="s">
        <v>57</v>
      </c>
      <c r="B12" s="6" t="s">
        <v>31</v>
      </c>
      <c r="C12" s="2" t="s">
        <v>27</v>
      </c>
      <c r="D12" s="2" t="s">
        <v>96</v>
      </c>
      <c r="E12" s="91"/>
      <c r="F12" s="2">
        <v>0.0005</v>
      </c>
      <c r="G12" s="3" t="s">
        <v>48</v>
      </c>
      <c r="H12" s="18">
        <f>F12*1300</f>
        <v>0.65</v>
      </c>
      <c r="I12" s="18">
        <f>H12</f>
        <v>0.65</v>
      </c>
      <c r="J12" s="18"/>
      <c r="K12" s="18"/>
      <c r="L12" s="18"/>
      <c r="M12" s="18"/>
      <c r="N12" s="18">
        <f>H12</f>
        <v>0.65</v>
      </c>
      <c r="O12" s="18"/>
      <c r="P12" s="18"/>
      <c r="Q12" s="18"/>
      <c r="R12" s="18"/>
      <c r="T12" s="26"/>
    </row>
    <row r="13" spans="1:20" s="32" customFormat="1" ht="15">
      <c r="A13" s="27" t="s">
        <v>58</v>
      </c>
      <c r="B13" s="40" t="s">
        <v>176</v>
      </c>
      <c r="C13" s="29" t="s">
        <v>46</v>
      </c>
      <c r="D13" s="30" t="s">
        <v>169</v>
      </c>
      <c r="E13" s="68"/>
      <c r="F13" s="29">
        <v>0.1</v>
      </c>
      <c r="G13" s="31" t="s">
        <v>48</v>
      </c>
      <c r="H13" s="18">
        <v>0.4</v>
      </c>
      <c r="I13" s="18">
        <v>0.4</v>
      </c>
      <c r="J13" s="18"/>
      <c r="K13" s="18"/>
      <c r="L13" s="18"/>
      <c r="M13" s="18"/>
      <c r="N13" s="18">
        <v>0.4</v>
      </c>
      <c r="O13" s="18"/>
      <c r="P13" s="18"/>
      <c r="Q13" s="18"/>
      <c r="R13" s="18"/>
      <c r="T13" s="33"/>
    </row>
    <row r="14" spans="1:20" s="32" customFormat="1" ht="30.75">
      <c r="A14" s="27" t="s">
        <v>59</v>
      </c>
      <c r="B14" s="72" t="s">
        <v>178</v>
      </c>
      <c r="C14" s="29" t="s">
        <v>179</v>
      </c>
      <c r="D14" s="30" t="s">
        <v>169</v>
      </c>
      <c r="E14" s="68"/>
      <c r="F14" s="29">
        <v>0.46</v>
      </c>
      <c r="G14" s="31" t="s">
        <v>48</v>
      </c>
      <c r="H14" s="18">
        <v>0.46</v>
      </c>
      <c r="I14" s="18">
        <v>0.46</v>
      </c>
      <c r="J14" s="18"/>
      <c r="K14" s="18"/>
      <c r="L14" s="18"/>
      <c r="M14" s="18"/>
      <c r="N14" s="18">
        <v>0.46</v>
      </c>
      <c r="O14" s="18"/>
      <c r="P14" s="18"/>
      <c r="Q14" s="18"/>
      <c r="R14" s="18"/>
      <c r="T14" s="33"/>
    </row>
    <row r="15" spans="1:18" s="9" customFormat="1" ht="15">
      <c r="A15" s="14"/>
      <c r="B15" s="15" t="s">
        <v>24</v>
      </c>
      <c r="C15" s="8"/>
      <c r="D15" s="8"/>
      <c r="E15" s="8"/>
      <c r="F15" s="8"/>
      <c r="G15" s="8"/>
      <c r="H15" s="17">
        <f>SUM(H9:H14)</f>
        <v>4.3549999999999995</v>
      </c>
      <c r="I15" s="17">
        <f>SUM(I9:K14)</f>
        <v>4.3549999999999995</v>
      </c>
      <c r="J15" s="17">
        <f>SUM(J9:J12)</f>
        <v>0</v>
      </c>
      <c r="K15" s="17">
        <f>SUM(K9:K12)</f>
        <v>0</v>
      </c>
      <c r="L15" s="17">
        <f>SUM(L9:L12)</f>
        <v>0</v>
      </c>
      <c r="M15" s="17">
        <f>SUM(M9:M12)</f>
        <v>0</v>
      </c>
      <c r="N15" s="17">
        <f>SUM(N9:N14)</f>
        <v>4.3549999999999995</v>
      </c>
      <c r="O15" s="17">
        <f>SUM(O9:O12)</f>
        <v>0</v>
      </c>
      <c r="P15" s="17">
        <f>SUM(P9:P12)</f>
        <v>0</v>
      </c>
      <c r="Q15" s="17">
        <f>SUM(Q9:Q12)</f>
        <v>0</v>
      </c>
      <c r="R15" s="18"/>
    </row>
    <row r="16" spans="1:20" s="32" customFormat="1" ht="15">
      <c r="A16" s="5"/>
      <c r="B16" s="8" t="s">
        <v>175</v>
      </c>
      <c r="C16" s="5"/>
      <c r="D16" s="8"/>
      <c r="E16" s="8"/>
      <c r="F16" s="8"/>
      <c r="G16" s="8"/>
      <c r="H16" s="25">
        <f>H15*214</f>
        <v>931.9699999999999</v>
      </c>
      <c r="I16" s="25">
        <f>I15*214</f>
        <v>931.9699999999999</v>
      </c>
      <c r="J16" s="25">
        <f>J15*366</f>
        <v>0</v>
      </c>
      <c r="K16" s="25">
        <f>K15*366</f>
        <v>0</v>
      </c>
      <c r="L16" s="25">
        <f>L15*366</f>
        <v>0</v>
      </c>
      <c r="M16" s="25">
        <f>M15*366</f>
        <v>0</v>
      </c>
      <c r="N16" s="25">
        <f>N15*214</f>
        <v>931.9699999999999</v>
      </c>
      <c r="O16" s="25">
        <f>O15*366</f>
        <v>0</v>
      </c>
      <c r="P16" s="25">
        <f>P15*366</f>
        <v>0</v>
      </c>
      <c r="Q16" s="25">
        <f>Q15*366</f>
        <v>0</v>
      </c>
      <c r="R16" s="25">
        <f>R15*366</f>
        <v>0</v>
      </c>
      <c r="T16" s="33"/>
    </row>
    <row r="17" spans="1:20" s="32" customFormat="1" ht="15.75" customHeight="1">
      <c r="A17" s="84" t="s">
        <v>70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T17" s="48"/>
    </row>
    <row r="18" spans="1:18" ht="15">
      <c r="A18" s="12">
        <v>1</v>
      </c>
      <c r="B18" s="16" t="s">
        <v>25</v>
      </c>
      <c r="C18" s="10"/>
      <c r="D18" s="10"/>
      <c r="E18" s="10"/>
      <c r="F18" s="11"/>
      <c r="G18" s="1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8"/>
    </row>
    <row r="19" spans="1:18" ht="15">
      <c r="A19" s="13" t="s">
        <v>54</v>
      </c>
      <c r="B19" s="6" t="s">
        <v>42</v>
      </c>
      <c r="C19" s="2" t="s">
        <v>27</v>
      </c>
      <c r="D19" s="2" t="s">
        <v>171</v>
      </c>
      <c r="E19" s="92" t="s">
        <v>29</v>
      </c>
      <c r="F19" s="2">
        <v>0.012</v>
      </c>
      <c r="G19" s="3" t="s">
        <v>48</v>
      </c>
      <c r="H19" s="18">
        <f>F19*60</f>
        <v>0.72</v>
      </c>
      <c r="I19" s="18">
        <f>H19</f>
        <v>0.72</v>
      </c>
      <c r="J19" s="18"/>
      <c r="K19" s="18"/>
      <c r="L19" s="18"/>
      <c r="M19" s="18"/>
      <c r="N19" s="18">
        <f>H19</f>
        <v>0.72</v>
      </c>
      <c r="O19" s="18"/>
      <c r="P19" s="18"/>
      <c r="Q19" s="18"/>
      <c r="R19" s="18"/>
    </row>
    <row r="20" spans="1:18" ht="15">
      <c r="A20" s="13" t="s">
        <v>55</v>
      </c>
      <c r="B20" s="6" t="s">
        <v>43</v>
      </c>
      <c r="C20" s="2" t="s">
        <v>27</v>
      </c>
      <c r="D20" s="2" t="s">
        <v>168</v>
      </c>
      <c r="E20" s="93"/>
      <c r="F20" s="2">
        <v>0.025</v>
      </c>
      <c r="G20" s="3" t="s">
        <v>48</v>
      </c>
      <c r="H20" s="18">
        <f>F20*5</f>
        <v>0.125</v>
      </c>
      <c r="I20" s="18">
        <f>H20</f>
        <v>0.125</v>
      </c>
      <c r="J20" s="18"/>
      <c r="K20" s="18"/>
      <c r="L20" s="18"/>
      <c r="M20" s="18"/>
      <c r="N20" s="18">
        <f>H20</f>
        <v>0.125</v>
      </c>
      <c r="O20" s="18"/>
      <c r="P20" s="18"/>
      <c r="Q20" s="18"/>
      <c r="R20" s="22">
        <f>SUM(R18:R19)</f>
        <v>0</v>
      </c>
    </row>
    <row r="21" spans="1:18" ht="15">
      <c r="A21" s="13" t="s">
        <v>56</v>
      </c>
      <c r="B21" s="6" t="s">
        <v>44</v>
      </c>
      <c r="C21" s="2" t="s">
        <v>27</v>
      </c>
      <c r="D21" s="7" t="s">
        <v>170</v>
      </c>
      <c r="E21" s="93"/>
      <c r="F21" s="2">
        <v>0.5</v>
      </c>
      <c r="G21" s="3" t="s">
        <v>48</v>
      </c>
      <c r="H21" s="18">
        <v>2</v>
      </c>
      <c r="I21" s="18">
        <f>H21</f>
        <v>2</v>
      </c>
      <c r="J21" s="18"/>
      <c r="K21" s="18"/>
      <c r="L21" s="18"/>
      <c r="M21" s="18"/>
      <c r="N21" s="18">
        <f>H21</f>
        <v>2</v>
      </c>
      <c r="O21" s="18"/>
      <c r="P21" s="18"/>
      <c r="Q21" s="18"/>
      <c r="R21" s="24"/>
    </row>
    <row r="22" spans="1:20" s="9" customFormat="1" ht="15.75" customHeight="1">
      <c r="A22" s="13" t="s">
        <v>57</v>
      </c>
      <c r="B22" s="6" t="s">
        <v>31</v>
      </c>
      <c r="C22" s="2" t="s">
        <v>27</v>
      </c>
      <c r="D22" s="2" t="s">
        <v>96</v>
      </c>
      <c r="E22" s="91"/>
      <c r="F22" s="2">
        <v>0.0005</v>
      </c>
      <c r="G22" s="3" t="s">
        <v>48</v>
      </c>
      <c r="H22" s="18">
        <f>F22*1300</f>
        <v>0.65</v>
      </c>
      <c r="I22" s="18">
        <f>H22</f>
        <v>0.65</v>
      </c>
      <c r="J22" s="18"/>
      <c r="K22" s="18"/>
      <c r="L22" s="18"/>
      <c r="M22" s="18"/>
      <c r="N22" s="18">
        <f>H22</f>
        <v>0.65</v>
      </c>
      <c r="O22" s="18"/>
      <c r="P22" s="18"/>
      <c r="Q22" s="18"/>
      <c r="R22" s="18"/>
      <c r="T22" s="26"/>
    </row>
    <row r="23" spans="1:20" s="32" customFormat="1" ht="15">
      <c r="A23" s="27" t="s">
        <v>58</v>
      </c>
      <c r="B23" s="40" t="s">
        <v>176</v>
      </c>
      <c r="C23" s="29" t="s">
        <v>46</v>
      </c>
      <c r="D23" s="30" t="s">
        <v>169</v>
      </c>
      <c r="E23" s="68"/>
      <c r="F23" s="29">
        <v>0.1</v>
      </c>
      <c r="G23" s="31" t="s">
        <v>48</v>
      </c>
      <c r="H23" s="18">
        <v>0.4</v>
      </c>
      <c r="I23" s="18">
        <v>0.4</v>
      </c>
      <c r="J23" s="18"/>
      <c r="K23" s="18"/>
      <c r="L23" s="18"/>
      <c r="M23" s="18"/>
      <c r="N23" s="18">
        <v>0.4</v>
      </c>
      <c r="O23" s="18"/>
      <c r="P23" s="18"/>
      <c r="Q23" s="18"/>
      <c r="R23" s="18"/>
      <c r="T23" s="33"/>
    </row>
    <row r="24" spans="1:20" s="32" customFormat="1" ht="30.75">
      <c r="A24" s="27" t="s">
        <v>60</v>
      </c>
      <c r="B24" s="72" t="s">
        <v>178</v>
      </c>
      <c r="C24" s="29" t="s">
        <v>179</v>
      </c>
      <c r="D24" s="30" t="s">
        <v>169</v>
      </c>
      <c r="E24" s="68"/>
      <c r="F24" s="29">
        <v>0.46</v>
      </c>
      <c r="G24" s="31" t="s">
        <v>48</v>
      </c>
      <c r="H24" s="18">
        <v>0.46</v>
      </c>
      <c r="I24" s="18">
        <v>0.46</v>
      </c>
      <c r="J24" s="18"/>
      <c r="K24" s="18"/>
      <c r="L24" s="18"/>
      <c r="M24" s="18"/>
      <c r="N24" s="18">
        <v>0.46</v>
      </c>
      <c r="O24" s="18"/>
      <c r="P24" s="18"/>
      <c r="Q24" s="18"/>
      <c r="R24" s="18"/>
      <c r="T24" s="33"/>
    </row>
    <row r="25" spans="1:20" s="32" customFormat="1" ht="15">
      <c r="A25" s="27" t="s">
        <v>61</v>
      </c>
      <c r="B25" s="40" t="s">
        <v>172</v>
      </c>
      <c r="C25" s="29" t="s">
        <v>173</v>
      </c>
      <c r="D25" s="30" t="s">
        <v>174</v>
      </c>
      <c r="E25" s="68"/>
      <c r="F25" s="29">
        <v>1.44</v>
      </c>
      <c r="G25" s="31" t="s">
        <v>48</v>
      </c>
      <c r="H25" s="18">
        <v>1.44</v>
      </c>
      <c r="I25" s="18">
        <v>1.44</v>
      </c>
      <c r="J25" s="18"/>
      <c r="K25" s="18"/>
      <c r="L25" s="18"/>
      <c r="M25" s="18"/>
      <c r="N25" s="18">
        <v>1.44</v>
      </c>
      <c r="O25" s="18"/>
      <c r="P25" s="18"/>
      <c r="Q25" s="18"/>
      <c r="R25" s="18"/>
      <c r="T25" s="33"/>
    </row>
    <row r="26" spans="1:18" s="9" customFormat="1" ht="15">
      <c r="A26" s="14"/>
      <c r="B26" s="15" t="s">
        <v>24</v>
      </c>
      <c r="C26" s="8"/>
      <c r="D26" s="8"/>
      <c r="E26" s="8"/>
      <c r="F26" s="8"/>
      <c r="G26" s="8"/>
      <c r="H26" s="17">
        <f>SUM(H19:H25)</f>
        <v>5.795</v>
      </c>
      <c r="I26" s="17">
        <f>SUM(I19:K25)</f>
        <v>5.795</v>
      </c>
      <c r="J26" s="17">
        <f>SUM(J19:J22)</f>
        <v>0</v>
      </c>
      <c r="K26" s="17">
        <f>SUM(K19:K22)</f>
        <v>0</v>
      </c>
      <c r="L26" s="17">
        <f>SUM(L19:L22)</f>
        <v>0</v>
      </c>
      <c r="M26" s="17">
        <f>SUM(M19:M22)</f>
        <v>0</v>
      </c>
      <c r="N26" s="17">
        <f>SUM(N19:N25)</f>
        <v>5.795</v>
      </c>
      <c r="O26" s="17">
        <f>SUM(O19:O22)</f>
        <v>0</v>
      </c>
      <c r="P26" s="17">
        <f>SUM(P19:P22)</f>
        <v>0</v>
      </c>
      <c r="Q26" s="17">
        <f>SUM(Q19:Q22)</f>
        <v>0</v>
      </c>
      <c r="R26" s="18"/>
    </row>
    <row r="27" spans="1:20" s="32" customFormat="1" ht="15">
      <c r="A27" s="5"/>
      <c r="B27" s="44" t="s">
        <v>177</v>
      </c>
      <c r="C27" s="5"/>
      <c r="D27" s="8"/>
      <c r="E27" s="8"/>
      <c r="F27" s="8"/>
      <c r="G27" s="8"/>
      <c r="H27" s="25">
        <f>H26*152</f>
        <v>880.84</v>
      </c>
      <c r="I27" s="25">
        <f aca="true" t="shared" si="0" ref="I27:N27">I26*152</f>
        <v>880.84</v>
      </c>
      <c r="J27" s="25">
        <f t="shared" si="0"/>
        <v>0</v>
      </c>
      <c r="K27" s="25">
        <f t="shared" si="0"/>
        <v>0</v>
      </c>
      <c r="L27" s="25">
        <f t="shared" si="0"/>
        <v>0</v>
      </c>
      <c r="M27" s="25">
        <f t="shared" si="0"/>
        <v>0</v>
      </c>
      <c r="N27" s="25">
        <f t="shared" si="0"/>
        <v>880.84</v>
      </c>
      <c r="O27" s="25">
        <f>O26*366</f>
        <v>0</v>
      </c>
      <c r="P27" s="25">
        <f>P26*366</f>
        <v>0</v>
      </c>
      <c r="Q27" s="25">
        <f>Q26*366</f>
        <v>0</v>
      </c>
      <c r="R27" s="25">
        <f>R26*366</f>
        <v>0</v>
      </c>
      <c r="T27" s="33"/>
    </row>
    <row r="28" spans="1:18" s="32" customFormat="1" ht="16.5" customHeight="1">
      <c r="A28" s="40"/>
      <c r="B28" s="44" t="s">
        <v>188</v>
      </c>
      <c r="C28" s="40"/>
      <c r="D28" s="44"/>
      <c r="E28" s="44"/>
      <c r="F28" s="44"/>
      <c r="G28" s="44"/>
      <c r="H28" s="22">
        <f>H16+H27</f>
        <v>1812.81</v>
      </c>
      <c r="I28" s="22">
        <f aca="true" t="shared" si="1" ref="I28:R28">I16+I27</f>
        <v>1812.81</v>
      </c>
      <c r="J28" s="22">
        <f t="shared" si="1"/>
        <v>0</v>
      </c>
      <c r="K28" s="22">
        <f t="shared" si="1"/>
        <v>0</v>
      </c>
      <c r="L28" s="22">
        <f t="shared" si="1"/>
        <v>0</v>
      </c>
      <c r="M28" s="22">
        <f t="shared" si="1"/>
        <v>0</v>
      </c>
      <c r="N28" s="22">
        <f t="shared" si="1"/>
        <v>1812.81</v>
      </c>
      <c r="O28" s="22">
        <f t="shared" si="1"/>
        <v>0</v>
      </c>
      <c r="P28" s="22">
        <f t="shared" si="1"/>
        <v>0</v>
      </c>
      <c r="Q28" s="22">
        <f t="shared" si="1"/>
        <v>0</v>
      </c>
      <c r="R28" s="22">
        <f t="shared" si="1"/>
        <v>0</v>
      </c>
    </row>
    <row r="29" spans="1:18" s="32" customFormat="1" ht="16.5" customHeight="1">
      <c r="A29" s="69"/>
      <c r="B29" s="70"/>
      <c r="C29" s="69"/>
      <c r="D29" s="70"/>
      <c r="E29" s="70"/>
      <c r="F29" s="70"/>
      <c r="G29" s="7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 s="32" customFormat="1" ht="16.5" customHeight="1">
      <c r="A30" s="69"/>
      <c r="B30" s="70"/>
      <c r="C30" s="69"/>
      <c r="D30" s="70"/>
      <c r="E30" s="70"/>
      <c r="F30" s="70"/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 s="32" customFormat="1" ht="16.5" customHeight="1">
      <c r="A31" s="69"/>
      <c r="B31" s="70"/>
      <c r="C31" s="69"/>
      <c r="D31" s="70"/>
      <c r="E31" s="70"/>
      <c r="F31" s="70"/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8" s="32" customFormat="1" ht="18">
      <c r="A32" s="56" t="s">
        <v>187</v>
      </c>
      <c r="H32" s="67"/>
    </row>
    <row r="33" s="32" customFormat="1" ht="15">
      <c r="C33" s="49"/>
    </row>
    <row r="34" s="32" customFormat="1" ht="15">
      <c r="C34" s="49"/>
    </row>
    <row r="35" s="32" customFormat="1" ht="15"/>
    <row r="36" s="32" customFormat="1" ht="15"/>
    <row r="37" s="32" customFormat="1" ht="15"/>
    <row r="38" s="32" customFormat="1" ht="15"/>
    <row r="39" s="32" customFormat="1" ht="15"/>
    <row r="40" s="32" customFormat="1" ht="15"/>
  </sheetData>
  <sheetProtection/>
  <mergeCells count="14">
    <mergeCell ref="E5:G5"/>
    <mergeCell ref="I5:L5"/>
    <mergeCell ref="M5:M6"/>
    <mergeCell ref="N5:Q5"/>
    <mergeCell ref="R5:R6"/>
    <mergeCell ref="H5:H6"/>
    <mergeCell ref="E19:E22"/>
    <mergeCell ref="E9:E12"/>
    <mergeCell ref="A7:R7"/>
    <mergeCell ref="A17:R17"/>
    <mergeCell ref="A5:A6"/>
    <mergeCell ref="B5:B6"/>
    <mergeCell ref="C5:C6"/>
    <mergeCell ref="D5:D6"/>
  </mergeCells>
  <printOptions horizontalCentered="1"/>
  <pageMargins left="0.7" right="0.7" top="0.75" bottom="0.75" header="0.3" footer="0.3"/>
  <pageSetup fitToHeight="0" fitToWidth="1" horizontalDpi="600" verticalDpi="600" orientation="landscape" paperSize="8" scale="93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="85" zoomScaleSheetLayoutView="85" zoomScalePageLayoutView="0" workbookViewId="0" topLeftCell="A1">
      <selection activeCell="D23" sqref="D23"/>
    </sheetView>
  </sheetViews>
  <sheetFormatPr defaultColWidth="9.00390625" defaultRowHeight="12.75"/>
  <cols>
    <col min="1" max="1" width="18.875" style="1" customWidth="1"/>
    <col min="2" max="7" width="15.125" style="1" customWidth="1"/>
    <col min="8" max="16384" width="8.875" style="1" customWidth="1"/>
  </cols>
  <sheetData>
    <row r="1" spans="1:7" s="9" customFormat="1" ht="15">
      <c r="A1" s="98" t="s">
        <v>131</v>
      </c>
      <c r="B1" s="98"/>
      <c r="C1" s="98"/>
      <c r="D1" s="98"/>
      <c r="E1" s="98"/>
      <c r="F1" s="98"/>
      <c r="G1" s="98"/>
    </row>
    <row r="2" spans="1:7" s="9" customFormat="1" ht="15">
      <c r="A2" s="98" t="s">
        <v>132</v>
      </c>
      <c r="B2" s="98"/>
      <c r="C2" s="98"/>
      <c r="D2" s="98"/>
      <c r="E2" s="98"/>
      <c r="F2" s="98"/>
      <c r="G2" s="98"/>
    </row>
    <row r="3" spans="1:7" s="9" customFormat="1" ht="15">
      <c r="A3" s="98" t="s">
        <v>225</v>
      </c>
      <c r="B3" s="98"/>
      <c r="C3" s="98"/>
      <c r="D3" s="98"/>
      <c r="E3" s="98"/>
      <c r="F3" s="98"/>
      <c r="G3" s="98"/>
    </row>
    <row r="4" spans="1:7" s="9" customFormat="1" ht="15">
      <c r="A4" s="98" t="s">
        <v>226</v>
      </c>
      <c r="B4" s="98"/>
      <c r="C4" s="98"/>
      <c r="D4" s="98"/>
      <c r="E4" s="98"/>
      <c r="F4" s="98"/>
      <c r="G4" s="98"/>
    </row>
    <row r="5" spans="1:7" ht="15">
      <c r="A5" s="100"/>
      <c r="B5" s="100"/>
      <c r="C5" s="100"/>
      <c r="D5" s="100"/>
      <c r="E5" s="100"/>
      <c r="F5" s="100"/>
      <c r="G5" s="100"/>
    </row>
    <row r="6" spans="1:7" ht="60.75" customHeight="1">
      <c r="A6" s="99" t="s">
        <v>227</v>
      </c>
      <c r="B6" s="99"/>
      <c r="C6" s="99"/>
      <c r="D6" s="99"/>
      <c r="E6" s="99"/>
      <c r="F6" s="99"/>
      <c r="G6" s="99"/>
    </row>
    <row r="7" spans="1:7" ht="63" customHeight="1">
      <c r="A7" s="99" t="s">
        <v>143</v>
      </c>
      <c r="B7" s="99"/>
      <c r="C7" s="99"/>
      <c r="D7" s="99"/>
      <c r="E7" s="99"/>
      <c r="F7" s="99"/>
      <c r="G7" s="99"/>
    </row>
    <row r="8" spans="1:7" ht="48" customHeight="1">
      <c r="A8" s="99" t="s">
        <v>144</v>
      </c>
      <c r="B8" s="99"/>
      <c r="C8" s="99"/>
      <c r="D8" s="99"/>
      <c r="E8" s="99"/>
      <c r="F8" s="99"/>
      <c r="G8" s="99"/>
    </row>
    <row r="10" spans="1:7" ht="27" customHeight="1">
      <c r="A10" s="92" t="s">
        <v>134</v>
      </c>
      <c r="B10" s="95" t="s">
        <v>117</v>
      </c>
      <c r="C10" s="96"/>
      <c r="D10" s="97"/>
      <c r="E10" s="95" t="s">
        <v>118</v>
      </c>
      <c r="F10" s="96"/>
      <c r="G10" s="97"/>
    </row>
    <row r="11" spans="1:7" ht="31.5" customHeight="1">
      <c r="A11" s="91"/>
      <c r="B11" s="59" t="s">
        <v>125</v>
      </c>
      <c r="C11" s="59" t="s">
        <v>126</v>
      </c>
      <c r="D11" s="59" t="s">
        <v>127</v>
      </c>
      <c r="E11" s="59" t="s">
        <v>125</v>
      </c>
      <c r="F11" s="59" t="s">
        <v>126</v>
      </c>
      <c r="G11" s="59" t="s">
        <v>127</v>
      </c>
    </row>
    <row r="12" spans="1:7" ht="15">
      <c r="A12" s="2" t="s">
        <v>135</v>
      </c>
      <c r="B12" s="60">
        <f>'кот.1'!I25</f>
        <v>221.3182</v>
      </c>
      <c r="C12" s="60">
        <f>'кот.1'!N25+'кот.1'!P25+'кот.1'!Q25</f>
        <v>26.814</v>
      </c>
      <c r="D12" s="61">
        <f aca="true" t="shared" si="0" ref="D12:D17">C12*100/B12</f>
        <v>12.115587421188136</v>
      </c>
      <c r="E12" s="18">
        <f>'кот.1'!I45</f>
        <v>137.02339999999998</v>
      </c>
      <c r="F12" s="18">
        <f>'кот.1'!N45+'кот.1'!P45+'кот.1'!Q45</f>
        <v>29.2148</v>
      </c>
      <c r="G12" s="61">
        <f aca="true" t="shared" si="1" ref="G12:G17">F12*100/E12</f>
        <v>21.321029838699086</v>
      </c>
    </row>
    <row r="13" spans="1:7" ht="15">
      <c r="A13" s="2" t="s">
        <v>136</v>
      </c>
      <c r="B13" s="60">
        <f>'кот.2'!I20</f>
        <v>142.64378287671235</v>
      </c>
      <c r="C13" s="60">
        <f>'кот.2'!N20+'кот.2'!P20+'кот.2'!Q20</f>
        <v>22.09658287671233</v>
      </c>
      <c r="D13" s="61">
        <f t="shared" si="0"/>
        <v>15.490743747177893</v>
      </c>
      <c r="E13" s="18">
        <f>'кот.2'!I39</f>
        <v>104.0440767483778</v>
      </c>
      <c r="F13" s="18">
        <f>'кот.2'!N39+'кот.2'!P39+'кот.2'!Q39</f>
        <v>30.850076748377795</v>
      </c>
      <c r="G13" s="61">
        <f t="shared" si="1"/>
        <v>29.650968812944743</v>
      </c>
    </row>
    <row r="14" spans="1:7" ht="15">
      <c r="A14" s="2" t="s">
        <v>137</v>
      </c>
      <c r="B14" s="60">
        <f>'кот.4'!I19</f>
        <v>157.45830136986302</v>
      </c>
      <c r="C14" s="60">
        <f>'кот.4'!N19+'кот.4'!P19+'кот.4'!Q19</f>
        <v>19.398301369863013</v>
      </c>
      <c r="D14" s="61">
        <f t="shared" si="0"/>
        <v>12.319643487260292</v>
      </c>
      <c r="E14" s="18">
        <f>'кот.4'!I35</f>
        <v>140.94417808219174</v>
      </c>
      <c r="F14" s="18">
        <f>'кот.4'!N35+'кот.4'!P35+'кот.4'!Q35</f>
        <v>34.105178082191784</v>
      </c>
      <c r="G14" s="61">
        <f t="shared" si="1"/>
        <v>24.19764941429742</v>
      </c>
    </row>
    <row r="15" spans="1:7" ht="15">
      <c r="A15" s="2" t="s">
        <v>138</v>
      </c>
      <c r="B15" s="60">
        <f>'кот.5'!I23</f>
        <v>416.65905</v>
      </c>
      <c r="C15" s="60">
        <f>'кот.5'!N23+'кот.5'!P23+'кот.5'!Q23</f>
        <v>47.420649999999995</v>
      </c>
      <c r="D15" s="61">
        <f t="shared" si="0"/>
        <v>11.38116404767879</v>
      </c>
      <c r="E15" s="18">
        <f>'кот.5'!I43</f>
        <v>263.3166</v>
      </c>
      <c r="F15" s="18">
        <f>'кот.5'!N43+'кот.5'!P43+'кот.5'!Q43</f>
        <v>68.7206</v>
      </c>
      <c r="G15" s="61">
        <f t="shared" si="1"/>
        <v>26.098088764627832</v>
      </c>
    </row>
    <row r="16" spans="1:7" ht="15">
      <c r="A16" s="2" t="s">
        <v>139</v>
      </c>
      <c r="B16" s="60">
        <f>'кот.6'!I20</f>
        <v>16.0074</v>
      </c>
      <c r="C16" s="60">
        <f>'кот.6'!N20+'кот.6'!P20</f>
        <v>7.9258</v>
      </c>
      <c r="D16" s="61">
        <f t="shared" si="0"/>
        <v>49.51335007559003</v>
      </c>
      <c r="E16" s="18">
        <f>'кот.6'!I36</f>
        <v>3.943373684210526</v>
      </c>
      <c r="F16" s="18">
        <f>'кот.6'!N36+'кот.6'!P36</f>
        <v>3.9327736842105265</v>
      </c>
      <c r="G16" s="61">
        <f t="shared" si="1"/>
        <v>99.73119463563795</v>
      </c>
    </row>
    <row r="17" spans="1:7" ht="35.25" customHeight="1">
      <c r="A17" s="2" t="s">
        <v>140</v>
      </c>
      <c r="B17" s="60">
        <f>контора!I15</f>
        <v>4.3549999999999995</v>
      </c>
      <c r="C17" s="60">
        <f>контора!N15</f>
        <v>4.3549999999999995</v>
      </c>
      <c r="D17" s="61">
        <f t="shared" si="0"/>
        <v>100</v>
      </c>
      <c r="E17" s="18">
        <f>контора!I26</f>
        <v>5.795</v>
      </c>
      <c r="F17" s="18">
        <f>контора!N26</f>
        <v>5.795</v>
      </c>
      <c r="G17" s="61">
        <f t="shared" si="1"/>
        <v>100</v>
      </c>
    </row>
    <row r="18" spans="1:7" ht="35.25" customHeight="1">
      <c r="A18" s="2" t="s">
        <v>24</v>
      </c>
      <c r="B18" s="60">
        <f>SUM(B12:B17)</f>
        <v>958.4417342465754</v>
      </c>
      <c r="C18" s="60">
        <f>SUM(C12:C17)</f>
        <v>128.01033424657533</v>
      </c>
      <c r="D18" s="61"/>
      <c r="E18" s="60">
        <f>SUM(E12:E17)</f>
        <v>655.06662851478</v>
      </c>
      <c r="F18" s="60">
        <f>SUM(F12:F17)</f>
        <v>172.6184285147801</v>
      </c>
      <c r="G18" s="61"/>
    </row>
    <row r="21" spans="1:5" ht="15">
      <c r="A21" s="1" t="s">
        <v>165</v>
      </c>
      <c r="E21" s="1" t="s">
        <v>228</v>
      </c>
    </row>
    <row r="34" ht="15">
      <c r="A34" s="65"/>
    </row>
    <row r="35" ht="15">
      <c r="A35" s="65"/>
    </row>
    <row r="36" ht="15">
      <c r="A36" s="65"/>
    </row>
  </sheetData>
  <sheetProtection/>
  <mergeCells count="11">
    <mergeCell ref="B10:D10"/>
    <mergeCell ref="E10:G10"/>
    <mergeCell ref="A10:A11"/>
    <mergeCell ref="A1:G1"/>
    <mergeCell ref="A6:G6"/>
    <mergeCell ref="A2:G2"/>
    <mergeCell ref="A3:G3"/>
    <mergeCell ref="A4:G4"/>
    <mergeCell ref="A5:G5"/>
    <mergeCell ref="A7:G7"/>
    <mergeCell ref="A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85" zoomScaleSheetLayoutView="85" zoomScalePageLayoutView="0" workbookViewId="0" topLeftCell="A7">
      <selection activeCell="E25" sqref="E25"/>
    </sheetView>
  </sheetViews>
  <sheetFormatPr defaultColWidth="9.00390625" defaultRowHeight="12.75"/>
  <cols>
    <col min="1" max="1" width="18.875" style="1" customWidth="1"/>
    <col min="2" max="7" width="15.125" style="1" customWidth="1"/>
    <col min="8" max="8" width="19.00390625" style="1" customWidth="1"/>
    <col min="9" max="14" width="14.50390625" style="1" customWidth="1"/>
    <col min="15" max="16384" width="8.875" style="1" customWidth="1"/>
  </cols>
  <sheetData>
    <row r="1" spans="1:7" s="9" customFormat="1" ht="15">
      <c r="A1" s="98" t="s">
        <v>131</v>
      </c>
      <c r="B1" s="98"/>
      <c r="C1" s="98"/>
      <c r="D1" s="98"/>
      <c r="E1" s="98"/>
      <c r="F1" s="98"/>
      <c r="G1" s="98"/>
    </row>
    <row r="2" spans="1:7" s="9" customFormat="1" ht="15">
      <c r="A2" s="98" t="s">
        <v>132</v>
      </c>
      <c r="B2" s="98"/>
      <c r="C2" s="98"/>
      <c r="D2" s="98"/>
      <c r="E2" s="98"/>
      <c r="F2" s="98"/>
      <c r="G2" s="98"/>
    </row>
    <row r="3" spans="1:7" s="9" customFormat="1" ht="15">
      <c r="A3" s="98" t="s">
        <v>133</v>
      </c>
      <c r="B3" s="98"/>
      <c r="C3" s="98"/>
      <c r="D3" s="98"/>
      <c r="E3" s="98"/>
      <c r="F3" s="98"/>
      <c r="G3" s="98"/>
    </row>
    <row r="4" spans="1:7" s="9" customFormat="1" ht="15">
      <c r="A4" s="98" t="s">
        <v>164</v>
      </c>
      <c r="B4" s="98"/>
      <c r="C4" s="98"/>
      <c r="D4" s="98"/>
      <c r="E4" s="98"/>
      <c r="F4" s="98"/>
      <c r="G4" s="98"/>
    </row>
    <row r="5" spans="1:7" ht="15">
      <c r="A5" s="100"/>
      <c r="B5" s="100"/>
      <c r="C5" s="100"/>
      <c r="D5" s="100"/>
      <c r="E5" s="100"/>
      <c r="F5" s="100"/>
      <c r="G5" s="100"/>
    </row>
    <row r="6" spans="1:7" ht="60.75" customHeight="1">
      <c r="A6" s="99" t="s">
        <v>167</v>
      </c>
      <c r="B6" s="99"/>
      <c r="C6" s="99"/>
      <c r="D6" s="99"/>
      <c r="E6" s="99"/>
      <c r="F6" s="99"/>
      <c r="G6" s="99"/>
    </row>
    <row r="7" spans="1:7" ht="63" customHeight="1">
      <c r="A7" s="99" t="s">
        <v>143</v>
      </c>
      <c r="B7" s="99"/>
      <c r="C7" s="99"/>
      <c r="D7" s="99"/>
      <c r="E7" s="99"/>
      <c r="F7" s="99"/>
      <c r="G7" s="99"/>
    </row>
    <row r="8" spans="1:10" ht="48" customHeight="1">
      <c r="A8" s="99" t="s">
        <v>144</v>
      </c>
      <c r="B8" s="99"/>
      <c r="C8" s="99"/>
      <c r="D8" s="99"/>
      <c r="E8" s="99"/>
      <c r="F8" s="99"/>
      <c r="G8" s="99"/>
      <c r="J8" s="1">
        <v>2013</v>
      </c>
    </row>
    <row r="10" spans="1:14" ht="27" customHeight="1">
      <c r="A10" s="92" t="s">
        <v>134</v>
      </c>
      <c r="B10" s="95" t="s">
        <v>117</v>
      </c>
      <c r="C10" s="96"/>
      <c r="D10" s="97"/>
      <c r="E10" s="95" t="s">
        <v>118</v>
      </c>
      <c r="F10" s="96"/>
      <c r="G10" s="97"/>
      <c r="H10" s="92" t="s">
        <v>134</v>
      </c>
      <c r="I10" s="95" t="s">
        <v>117</v>
      </c>
      <c r="J10" s="96"/>
      <c r="K10" s="97"/>
      <c r="L10" s="95" t="s">
        <v>118</v>
      </c>
      <c r="M10" s="96"/>
      <c r="N10" s="97"/>
    </row>
    <row r="11" spans="1:14" ht="31.5" customHeight="1">
      <c r="A11" s="91"/>
      <c r="B11" s="59" t="s">
        <v>125</v>
      </c>
      <c r="C11" s="59" t="s">
        <v>126</v>
      </c>
      <c r="D11" s="59" t="s">
        <v>127</v>
      </c>
      <c r="E11" s="59" t="s">
        <v>125</v>
      </c>
      <c r="F11" s="59" t="s">
        <v>126</v>
      </c>
      <c r="G11" s="59" t="s">
        <v>127</v>
      </c>
      <c r="H11" s="91"/>
      <c r="I11" s="59" t="s">
        <v>125</v>
      </c>
      <c r="J11" s="59" t="s">
        <v>126</v>
      </c>
      <c r="K11" s="59" t="s">
        <v>127</v>
      </c>
      <c r="L11" s="59" t="s">
        <v>125</v>
      </c>
      <c r="M11" s="59" t="s">
        <v>126</v>
      </c>
      <c r="N11" s="59" t="s">
        <v>127</v>
      </c>
    </row>
    <row r="12" spans="1:14" ht="15">
      <c r="A12" s="2" t="s">
        <v>135</v>
      </c>
      <c r="B12" s="60">
        <v>221.32</v>
      </c>
      <c r="C12" s="60">
        <v>26.81</v>
      </c>
      <c r="D12" s="61">
        <f aca="true" t="shared" si="0" ref="D12:D17">C12*100/B12</f>
        <v>12.11368154708115</v>
      </c>
      <c r="E12" s="18">
        <v>133.09</v>
      </c>
      <c r="F12" s="18">
        <v>25.28</v>
      </c>
      <c r="G12" s="61">
        <f aca="true" t="shared" si="1" ref="G12:G17">F12*100/E12</f>
        <v>18.994665264106995</v>
      </c>
      <c r="H12" s="2" t="s">
        <v>135</v>
      </c>
      <c r="I12" s="60">
        <v>251.38</v>
      </c>
      <c r="J12" s="60">
        <v>26.81</v>
      </c>
      <c r="K12" s="61">
        <f aca="true" t="shared" si="2" ref="K12:K17">J12*100/I12</f>
        <v>10.665128490731163</v>
      </c>
      <c r="L12" s="18">
        <v>129.55</v>
      </c>
      <c r="M12" s="18">
        <v>27.53</v>
      </c>
      <c r="N12" s="61">
        <f aca="true" t="shared" si="3" ref="N12:N17">M12*100/L12</f>
        <v>21.250482439212657</v>
      </c>
    </row>
    <row r="13" spans="1:14" ht="15">
      <c r="A13" s="2" t="s">
        <v>136</v>
      </c>
      <c r="B13" s="60">
        <v>119.5</v>
      </c>
      <c r="C13" s="60">
        <v>18.8</v>
      </c>
      <c r="D13" s="61">
        <f t="shared" si="0"/>
        <v>15.732217573221757</v>
      </c>
      <c r="E13" s="18">
        <v>58.67</v>
      </c>
      <c r="F13" s="18">
        <v>18.64</v>
      </c>
      <c r="G13" s="61">
        <f t="shared" si="1"/>
        <v>31.77092210669848</v>
      </c>
      <c r="H13" s="2" t="s">
        <v>136</v>
      </c>
      <c r="I13" s="60">
        <v>119.5</v>
      </c>
      <c r="J13" s="60">
        <v>18.8</v>
      </c>
      <c r="K13" s="61">
        <f t="shared" si="2"/>
        <v>15.732217573221757</v>
      </c>
      <c r="L13" s="18">
        <v>58.67</v>
      </c>
      <c r="M13" s="18">
        <v>18.64</v>
      </c>
      <c r="N13" s="61">
        <f t="shared" si="3"/>
        <v>31.77092210669848</v>
      </c>
    </row>
    <row r="14" spans="1:14" ht="15">
      <c r="A14" s="2" t="s">
        <v>137</v>
      </c>
      <c r="B14" s="60">
        <v>154.37</v>
      </c>
      <c r="C14" s="60">
        <v>16.08</v>
      </c>
      <c r="D14" s="61">
        <f t="shared" si="0"/>
        <v>10.416531709529051</v>
      </c>
      <c r="E14" s="18">
        <v>132.25</v>
      </c>
      <c r="F14" s="18">
        <v>21.89</v>
      </c>
      <c r="G14" s="61">
        <f t="shared" si="1"/>
        <v>16.551984877126653</v>
      </c>
      <c r="H14" s="2" t="s">
        <v>137</v>
      </c>
      <c r="I14" s="60">
        <v>101.18</v>
      </c>
      <c r="J14" s="60">
        <v>16.08</v>
      </c>
      <c r="K14" s="61">
        <f t="shared" si="2"/>
        <v>15.89246886736509</v>
      </c>
      <c r="L14" s="18">
        <v>54.71</v>
      </c>
      <c r="M14" s="18">
        <v>21.89</v>
      </c>
      <c r="N14" s="61">
        <f t="shared" si="3"/>
        <v>40.010966916468654</v>
      </c>
    </row>
    <row r="15" spans="1:14" ht="15">
      <c r="A15" s="2" t="s">
        <v>138</v>
      </c>
      <c r="B15" s="60">
        <v>416.66</v>
      </c>
      <c r="C15" s="60">
        <v>47.42</v>
      </c>
      <c r="D15" s="61">
        <f t="shared" si="0"/>
        <v>11.38098209571353</v>
      </c>
      <c r="E15" s="18">
        <v>232.22</v>
      </c>
      <c r="F15" s="18">
        <v>37.63</v>
      </c>
      <c r="G15" s="61">
        <f t="shared" si="1"/>
        <v>16.20446128671088</v>
      </c>
      <c r="H15" s="2" t="s">
        <v>138</v>
      </c>
      <c r="I15" s="60">
        <v>439.06</v>
      </c>
      <c r="J15" s="60">
        <v>47.42</v>
      </c>
      <c r="K15" s="61">
        <v>10.8</v>
      </c>
      <c r="L15" s="18">
        <v>143.93</v>
      </c>
      <c r="M15" s="18">
        <v>41.1</v>
      </c>
      <c r="N15" s="61">
        <v>28.6</v>
      </c>
    </row>
    <row r="16" spans="1:14" ht="15">
      <c r="A16" s="2" t="s">
        <v>139</v>
      </c>
      <c r="B16" s="60">
        <v>16.01</v>
      </c>
      <c r="C16" s="60">
        <v>7.93</v>
      </c>
      <c r="D16" s="61">
        <f t="shared" si="0"/>
        <v>49.531542785758894</v>
      </c>
      <c r="E16" s="18">
        <v>3.94</v>
      </c>
      <c r="F16" s="18">
        <v>3.93</v>
      </c>
      <c r="G16" s="61">
        <f t="shared" si="1"/>
        <v>99.74619289340102</v>
      </c>
      <c r="H16" s="2" t="s">
        <v>139</v>
      </c>
      <c r="I16" s="60">
        <v>16.01</v>
      </c>
      <c r="J16" s="60">
        <v>7.93</v>
      </c>
      <c r="K16" s="61">
        <f t="shared" si="2"/>
        <v>49.531542785758894</v>
      </c>
      <c r="L16" s="18">
        <v>3.94</v>
      </c>
      <c r="M16" s="18">
        <v>3.93</v>
      </c>
      <c r="N16" s="61">
        <f t="shared" si="3"/>
        <v>99.74619289340102</v>
      </c>
    </row>
    <row r="17" spans="1:14" ht="35.25" customHeight="1">
      <c r="A17" s="2" t="s">
        <v>140</v>
      </c>
      <c r="B17" s="60">
        <v>4.36</v>
      </c>
      <c r="C17" s="60">
        <v>4.36</v>
      </c>
      <c r="D17" s="61">
        <f t="shared" si="0"/>
        <v>100</v>
      </c>
      <c r="E17" s="18">
        <v>5.8</v>
      </c>
      <c r="F17" s="18">
        <v>5.8</v>
      </c>
      <c r="G17" s="61">
        <f t="shared" si="1"/>
        <v>100</v>
      </c>
      <c r="H17" s="2" t="s">
        <v>140</v>
      </c>
      <c r="I17" s="60">
        <v>3.21</v>
      </c>
      <c r="J17" s="60">
        <v>3.21</v>
      </c>
      <c r="K17" s="61">
        <f t="shared" si="2"/>
        <v>100</v>
      </c>
      <c r="L17" s="18">
        <v>3.21</v>
      </c>
      <c r="M17" s="18">
        <v>3.21</v>
      </c>
      <c r="N17" s="61">
        <f t="shared" si="3"/>
        <v>100</v>
      </c>
    </row>
    <row r="18" spans="1:14" ht="35.25" customHeight="1">
      <c r="A18" s="2" t="s">
        <v>24</v>
      </c>
      <c r="B18" s="60">
        <f>SUM(B12:B17)</f>
        <v>932.22</v>
      </c>
      <c r="C18" s="60">
        <f>SUM(C12:C17)</f>
        <v>121.39999999999999</v>
      </c>
      <c r="D18" s="61"/>
      <c r="E18" s="60">
        <f>SUM(E12:E17)</f>
        <v>565.97</v>
      </c>
      <c r="F18" s="60">
        <f>SUM(F12:F17)</f>
        <v>113.17</v>
      </c>
      <c r="G18" s="61"/>
      <c r="H18" s="2" t="s">
        <v>24</v>
      </c>
      <c r="I18" s="60">
        <f>SUM(I12:I17)</f>
        <v>930.34</v>
      </c>
      <c r="J18" s="60">
        <f>SUM(J12:J17)</f>
        <v>120.24999999999999</v>
      </c>
      <c r="K18" s="61"/>
      <c r="L18" s="60">
        <f>SUM(L12:L17)</f>
        <v>394.01</v>
      </c>
      <c r="M18" s="60">
        <f>SUM(M12:M17)</f>
        <v>116.3</v>
      </c>
      <c r="N18" s="61"/>
    </row>
    <row r="21" spans="1:5" ht="15">
      <c r="A21" s="1" t="s">
        <v>165</v>
      </c>
      <c r="E21" s="1" t="s">
        <v>166</v>
      </c>
    </row>
    <row r="35" ht="15">
      <c r="A35" s="65"/>
    </row>
    <row r="36" ht="15">
      <c r="A36" s="65"/>
    </row>
    <row r="37" ht="15">
      <c r="A37" s="65"/>
    </row>
  </sheetData>
  <sheetProtection/>
  <mergeCells count="14">
    <mergeCell ref="A1:G1"/>
    <mergeCell ref="A2:G2"/>
    <mergeCell ref="A3:G3"/>
    <mergeCell ref="A4:G4"/>
    <mergeCell ref="A5:G5"/>
    <mergeCell ref="A6:G6"/>
    <mergeCell ref="I10:K10"/>
    <mergeCell ref="L10:N10"/>
    <mergeCell ref="A7:G7"/>
    <mergeCell ref="A8:G8"/>
    <mergeCell ref="A10:A11"/>
    <mergeCell ref="B10:D10"/>
    <mergeCell ref="E10:G10"/>
    <mergeCell ref="H10:H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RTS</dc:creator>
  <cp:keywords/>
  <dc:description/>
  <cp:lastModifiedBy>Корзинкина_ОО</cp:lastModifiedBy>
  <cp:lastPrinted>2016-11-12T10:55:12Z</cp:lastPrinted>
  <dcterms:created xsi:type="dcterms:W3CDTF">1999-12-10T07:45:17Z</dcterms:created>
  <dcterms:modified xsi:type="dcterms:W3CDTF">2018-05-11T13:05:38Z</dcterms:modified>
  <cp:category/>
  <cp:version/>
  <cp:contentType/>
  <cp:contentStatus/>
</cp:coreProperties>
</file>